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3500" yWindow="-135" windowWidth="15330" windowHeight="12780"/>
  </bookViews>
  <sheets>
    <sheet name="P&amp;L" sheetId="16" r:id="rId1"/>
    <sheet name="Segments" sheetId="13" r:id="rId2"/>
    <sheet name="Balance sheet" sheetId="4" r:id="rId3"/>
    <sheet name="Cash Flow" sheetId="6" r:id="rId4"/>
    <sheet name="KPI_segment B2B&amp;B2C" sheetId="14" r:id="rId5"/>
  </sheets>
  <definedNames>
    <definedName name="_xlnm.Print_Area" localSheetId="2">'Balance sheet'!$A$1:$R$75</definedName>
    <definedName name="_xlnm.Print_Area" localSheetId="3">'Cash Flow'!$A$1:$R$72</definedName>
    <definedName name="_xlnm.Print_Area" localSheetId="4">'KPI_segment B2B&amp;B2C'!$A$1:$T$38</definedName>
    <definedName name="_xlnm.Print_Area" localSheetId="0">'P&amp;L'!$A$4:$T$40</definedName>
    <definedName name="OLE_LINK3" localSheetId="3">'Cash Flow'!$A$22</definedName>
  </definedNames>
  <calcPr calcId="162913"/>
</workbook>
</file>

<file path=xl/calcChain.xml><?xml version="1.0" encoding="utf-8"?>
<calcChain xmlns="http://schemas.openxmlformats.org/spreadsheetml/2006/main">
  <c r="BB30" i="16" l="1"/>
  <c r="BF22" i="16" l="1"/>
  <c r="BF21" i="16"/>
  <c r="AU29" i="14"/>
  <c r="AT29" i="14"/>
  <c r="AS29" i="14"/>
  <c r="AR29" i="14"/>
  <c r="AQ29" i="14"/>
  <c r="AU24" i="14"/>
  <c r="AT24" i="14"/>
  <c r="AS24" i="14"/>
  <c r="AR24" i="14"/>
  <c r="AQ24" i="14"/>
  <c r="AU17" i="14"/>
  <c r="AT17" i="14"/>
  <c r="AS17" i="14"/>
  <c r="AR17" i="14"/>
  <c r="AQ17" i="14"/>
  <c r="AU7" i="14"/>
  <c r="AT7" i="14"/>
  <c r="AT5" i="14" s="1"/>
  <c r="AS7" i="14"/>
  <c r="AS5" i="14" s="1"/>
  <c r="AR7" i="14"/>
  <c r="AR5" i="14" s="1"/>
  <c r="AQ7" i="14"/>
  <c r="AP6" i="6"/>
  <c r="AP29" i="6" s="1"/>
  <c r="AP32" i="6" s="1"/>
  <c r="AQ6" i="6"/>
  <c r="AQ29" i="6" s="1"/>
  <c r="AQ32" i="6" s="1"/>
  <c r="AR6" i="6"/>
  <c r="AR29" i="6"/>
  <c r="AR32" i="6"/>
  <c r="AP50" i="6"/>
  <c r="AQ50" i="6"/>
  <c r="AR50" i="6"/>
  <c r="AP63" i="6"/>
  <c r="AQ63" i="6"/>
  <c r="AR63" i="6"/>
  <c r="AO63" i="6"/>
  <c r="AO50" i="6"/>
  <c r="AO6" i="6"/>
  <c r="AL68" i="4"/>
  <c r="AK68" i="4"/>
  <c r="AJ68" i="4"/>
  <c r="AI68" i="4"/>
  <c r="AL57" i="4"/>
  <c r="AK57" i="4"/>
  <c r="AK69" i="4" s="1"/>
  <c r="AJ57" i="4"/>
  <c r="AJ69" i="4" s="1"/>
  <c r="AJ70" i="4" s="1"/>
  <c r="AI57" i="4"/>
  <c r="AL46" i="4"/>
  <c r="AL48" i="4" s="1"/>
  <c r="AK46" i="4"/>
  <c r="AK48" i="4" s="1"/>
  <c r="AJ46" i="4"/>
  <c r="AJ48" i="4" s="1"/>
  <c r="AI46" i="4"/>
  <c r="AI48" i="4" s="1"/>
  <c r="AL35" i="4"/>
  <c r="AK35" i="4"/>
  <c r="AJ35" i="4"/>
  <c r="AI35" i="4"/>
  <c r="AL22" i="4"/>
  <c r="AK22" i="4"/>
  <c r="AK36" i="4" s="1"/>
  <c r="AJ22" i="4"/>
  <c r="AI22" i="4"/>
  <c r="BF29" i="16"/>
  <c r="BF28" i="16"/>
  <c r="BF26" i="16"/>
  <c r="BF24" i="16"/>
  <c r="BF23" i="16"/>
  <c r="BF19" i="16"/>
  <c r="BF18" i="16"/>
  <c r="BF17" i="16"/>
  <c r="BF16" i="16"/>
  <c r="BF15" i="16"/>
  <c r="BF14" i="16"/>
  <c r="BF13" i="16"/>
  <c r="BF12" i="16"/>
  <c r="BF11" i="16"/>
  <c r="BE10" i="16"/>
  <c r="BD10" i="16"/>
  <c r="BC10" i="16"/>
  <c r="BB10" i="16"/>
  <c r="BF9" i="16"/>
  <c r="BF8" i="16"/>
  <c r="BF7" i="16"/>
  <c r="BF6" i="16"/>
  <c r="BE5" i="16"/>
  <c r="BE20" i="16" s="1"/>
  <c r="BD5" i="16"/>
  <c r="BD20" i="16" s="1"/>
  <c r="BC5" i="16"/>
  <c r="BC20" i="16" s="1"/>
  <c r="BC31" i="16" s="1"/>
  <c r="BC32" i="16" s="1"/>
  <c r="BB5" i="16"/>
  <c r="AQ5" i="14" l="1"/>
  <c r="BF5" i="16"/>
  <c r="AU5" i="14"/>
  <c r="AR64" i="6"/>
  <c r="AR67" i="6" s="1"/>
  <c r="AQ64" i="6"/>
  <c r="AQ67" i="6" s="1"/>
  <c r="AP64" i="6"/>
  <c r="AP67" i="6" s="1"/>
  <c r="AL36" i="4"/>
  <c r="AI36" i="4"/>
  <c r="AJ36" i="4"/>
  <c r="AK70" i="4"/>
  <c r="AL69" i="4"/>
  <c r="AL70" i="4" s="1"/>
  <c r="AI69" i="4"/>
  <c r="AI70" i="4" s="1"/>
  <c r="BF10" i="16"/>
  <c r="BB20" i="16"/>
  <c r="BB25" i="16" s="1"/>
  <c r="BB27" i="16" s="1"/>
  <c r="BD25" i="16"/>
  <c r="BD27" i="16" s="1"/>
  <c r="BD30" i="16" s="1"/>
  <c r="BD31" i="16"/>
  <c r="BD32" i="16" s="1"/>
  <c r="BE31" i="16"/>
  <c r="BE32" i="16" s="1"/>
  <c r="BE25" i="16"/>
  <c r="BE27" i="16" s="1"/>
  <c r="BE30" i="16" s="1"/>
  <c r="BC25" i="16"/>
  <c r="BC27" i="16" s="1"/>
  <c r="BC30" i="16" s="1"/>
  <c r="AP16" i="14"/>
  <c r="AP15" i="14"/>
  <c r="AP9" i="14"/>
  <c r="AP10" i="14"/>
  <c r="AP11" i="14"/>
  <c r="AP12" i="14"/>
  <c r="AP8" i="14"/>
  <c r="AH64" i="6"/>
  <c r="AM64" i="6"/>
  <c r="AM63" i="6"/>
  <c r="AZ5" i="16"/>
  <c r="AZ10" i="16"/>
  <c r="AU10" i="16"/>
  <c r="AU5" i="16"/>
  <c r="AO5" i="6" l="1"/>
  <c r="AO29" i="6" s="1"/>
  <c r="AO32" i="6" s="1"/>
  <c r="AO64" i="6" s="1"/>
  <c r="BF20" i="16"/>
  <c r="BF25" i="16" s="1"/>
  <c r="BF27" i="16" s="1"/>
  <c r="BF30" i="16" s="1"/>
  <c r="BB31" i="16"/>
  <c r="BB32" i="16" s="1"/>
  <c r="AU20" i="16"/>
  <c r="AU31" i="16" s="1"/>
  <c r="AU32" i="16" s="1"/>
  <c r="AZ20" i="16"/>
  <c r="AZ25" i="16" s="1"/>
  <c r="AZ27" i="16" s="1"/>
  <c r="BF31" i="16" l="1"/>
  <c r="BF32" i="16" s="1"/>
  <c r="AU25" i="16"/>
  <c r="AU27" i="16" s="1"/>
  <c r="AZ31" i="16"/>
  <c r="AZ32" i="16" s="1"/>
  <c r="AG42" i="6" l="1"/>
  <c r="R8" i="13"/>
  <c r="T8" i="13"/>
  <c r="R9" i="13"/>
  <c r="T9" i="13"/>
  <c r="AY10" i="16"/>
  <c r="AY5" i="16"/>
  <c r="AT10" i="16"/>
  <c r="AT5" i="16"/>
  <c r="AY20" i="16" l="1"/>
  <c r="AT20" i="16"/>
  <c r="AY25" i="16"/>
  <c r="AY27" i="16" s="1"/>
  <c r="AY31" i="16"/>
  <c r="AY32" i="16" s="1"/>
  <c r="AT25" i="16"/>
  <c r="AT27" i="16" s="1"/>
  <c r="AT31" i="16"/>
  <c r="AT32" i="16" s="1"/>
  <c r="AK63" i="6"/>
  <c r="AK50" i="6"/>
  <c r="AK6" i="6"/>
  <c r="AK29" i="6" s="1"/>
  <c r="AK32" i="6" s="1"/>
  <c r="AF63" i="6"/>
  <c r="AF50" i="6"/>
  <c r="AF6" i="6"/>
  <c r="AF29" i="6" s="1"/>
  <c r="AF32" i="6" s="1"/>
  <c r="AK64" i="6" l="1"/>
  <c r="AF64" i="6"/>
  <c r="O13" i="13" l="1"/>
  <c r="M13" i="13"/>
  <c r="O10" i="13"/>
  <c r="M10" i="13"/>
  <c r="J13" i="13"/>
  <c r="H13" i="13"/>
  <c r="H10" i="13"/>
  <c r="E13" i="13"/>
  <c r="C13" i="13"/>
  <c r="E10" i="13"/>
  <c r="C10" i="13"/>
  <c r="AX10" i="16"/>
  <c r="AX5" i="16"/>
  <c r="AX20" i="16" s="1"/>
  <c r="AX31" i="16" l="1"/>
  <c r="AX32" i="16" s="1"/>
  <c r="AX25" i="16"/>
  <c r="AX27" i="16" s="1"/>
  <c r="AS10" i="16"/>
  <c r="AS5" i="16"/>
  <c r="AS20" i="16" l="1"/>
  <c r="AS25" i="16" s="1"/>
  <c r="AS27" i="16" s="1"/>
  <c r="AL63" i="6"/>
  <c r="AJ63" i="6"/>
  <c r="AM50" i="6"/>
  <c r="AL50" i="6"/>
  <c r="AJ50" i="6"/>
  <c r="AM6" i="6"/>
  <c r="AM29" i="6" s="1"/>
  <c r="AM32" i="6" s="1"/>
  <c r="AL6" i="6"/>
  <c r="AL29" i="6" s="1"/>
  <c r="AL32" i="6" s="1"/>
  <c r="AJ6" i="6"/>
  <c r="AJ29" i="6" s="1"/>
  <c r="AJ32" i="6" s="1"/>
  <c r="AL64" i="6" l="1"/>
  <c r="AS31" i="16"/>
  <c r="AS32" i="16" s="1"/>
  <c r="AJ64" i="6"/>
  <c r="AJ67" i="6" s="1"/>
  <c r="AW10" i="16"/>
  <c r="AE22" i="4" l="1"/>
  <c r="AC22" i="4"/>
  <c r="Z22" i="4"/>
  <c r="AA22" i="4"/>
  <c r="AR10" i="16" l="1"/>
  <c r="AQ26" i="16"/>
  <c r="AM7" i="14"/>
  <c r="AN7" i="14"/>
  <c r="AO7" i="14"/>
  <c r="AP7" i="14"/>
  <c r="AL7" i="14"/>
  <c r="AM29" i="14"/>
  <c r="AN29" i="14"/>
  <c r="AO29" i="14"/>
  <c r="AP29" i="14"/>
  <c r="AM24" i="14"/>
  <c r="AN24" i="14"/>
  <c r="AO24" i="14"/>
  <c r="AP24" i="14"/>
  <c r="AM17" i="14"/>
  <c r="AN17" i="14"/>
  <c r="AO17" i="14"/>
  <c r="AP17" i="14"/>
  <c r="AL24" i="14"/>
  <c r="Q16" i="13"/>
  <c r="AE57" i="4"/>
  <c r="AE46" i="4"/>
  <c r="AD46" i="4"/>
  <c r="AE35" i="4"/>
  <c r="AC35" i="4"/>
  <c r="AD35" i="4"/>
  <c r="AD22" i="4"/>
  <c r="AO5" i="14" l="1"/>
  <c r="AN5" i="14"/>
  <c r="AM5" i="14"/>
  <c r="AE50" i="6"/>
  <c r="AG63" i="6"/>
  <c r="AE6" i="6"/>
  <c r="AG50" i="6"/>
  <c r="AH50" i="6"/>
  <c r="AE63" i="6"/>
  <c r="AH63" i="6"/>
  <c r="AG6" i="6"/>
  <c r="AG29" i="6" s="1"/>
  <c r="AG32" i="6" s="1"/>
  <c r="AH6" i="6"/>
  <c r="AH29" i="6" s="1"/>
  <c r="AH32" i="6" s="1"/>
  <c r="AD6" i="6"/>
  <c r="AG64" i="6" l="1"/>
  <c r="AE29" i="6"/>
  <c r="AP5" i="14"/>
  <c r="AE32" i="6" l="1"/>
  <c r="AL17" i="14"/>
  <c r="AK17" i="14"/>
  <c r="AK7" i="14"/>
  <c r="AL5" i="14"/>
  <c r="AE64" i="6" l="1"/>
  <c r="AL29" i="14"/>
  <c r="AE67" i="6" l="1"/>
  <c r="AH68" i="4" l="1"/>
  <c r="AG68" i="4"/>
  <c r="AF68" i="4"/>
  <c r="AE68" i="4"/>
  <c r="AH57" i="4"/>
  <c r="AG57" i="4"/>
  <c r="AF57" i="4"/>
  <c r="AH46" i="4"/>
  <c r="AH48" i="4" s="1"/>
  <c r="AG46" i="4"/>
  <c r="AG48" i="4" s="1"/>
  <c r="AF46" i="4"/>
  <c r="AF48" i="4" s="1"/>
  <c r="AE48" i="4"/>
  <c r="AH35" i="4"/>
  <c r="AG35" i="4"/>
  <c r="AF35" i="4"/>
  <c r="AH22" i="4"/>
  <c r="AG22" i="4"/>
  <c r="AF22" i="4"/>
  <c r="BA29" i="16"/>
  <c r="BA28" i="16"/>
  <c r="BA26" i="16"/>
  <c r="BA24" i="16"/>
  <c r="BA23" i="16"/>
  <c r="BA22" i="16"/>
  <c r="BA21" i="16"/>
  <c r="BA19" i="16"/>
  <c r="BA18" i="16"/>
  <c r="BA17" i="16"/>
  <c r="BA16" i="16"/>
  <c r="BA15" i="16"/>
  <c r="BA14" i="16"/>
  <c r="BA13" i="16"/>
  <c r="BA12" i="16"/>
  <c r="BA11" i="16"/>
  <c r="BA9" i="16"/>
  <c r="BA8" i="16"/>
  <c r="BA7" i="16"/>
  <c r="BA6" i="16"/>
  <c r="AW5" i="16"/>
  <c r="AW20" i="16" s="1"/>
  <c r="AW25" i="16" s="1"/>
  <c r="AV26" i="16"/>
  <c r="AV24" i="16"/>
  <c r="AV23" i="16"/>
  <c r="AV22" i="16"/>
  <c r="AV21" i="16"/>
  <c r="AV19" i="16"/>
  <c r="AV18" i="16"/>
  <c r="AV17" i="16"/>
  <c r="AV16" i="16"/>
  <c r="AV15" i="16"/>
  <c r="AV14" i="16"/>
  <c r="AV13" i="16"/>
  <c r="AV12" i="16"/>
  <c r="AV11" i="16"/>
  <c r="AV9" i="16"/>
  <c r="AV8" i="16"/>
  <c r="AV7" i="16"/>
  <c r="AV6" i="16"/>
  <c r="AR5" i="16"/>
  <c r="AR20" i="16" s="1"/>
  <c r="AR25" i="16" s="1"/>
  <c r="AR27" i="16" l="1"/>
  <c r="BA10" i="16"/>
  <c r="AW27" i="16"/>
  <c r="AW30" i="16" s="1"/>
  <c r="BA5" i="16"/>
  <c r="AE69" i="4"/>
  <c r="AE70" i="4" s="1"/>
  <c r="AF69" i="4"/>
  <c r="AF70" i="4" s="1"/>
  <c r="AG69" i="4"/>
  <c r="AG70" i="4" s="1"/>
  <c r="AH69" i="4"/>
  <c r="AH70" i="4" s="1"/>
  <c r="AE36" i="4"/>
  <c r="AF36" i="4"/>
  <c r="AG36" i="4"/>
  <c r="AH36" i="4"/>
  <c r="AV5" i="16"/>
  <c r="AV10" i="16"/>
  <c r="Q17" i="13"/>
  <c r="Q14" i="13"/>
  <c r="Q13" i="13"/>
  <c r="Q12" i="13"/>
  <c r="Q11" i="13"/>
  <c r="Q10" i="13"/>
  <c r="Q9" i="13"/>
  <c r="Q8" i="13"/>
  <c r="L17" i="13"/>
  <c r="L16" i="13"/>
  <c r="L14" i="13"/>
  <c r="L13" i="13"/>
  <c r="L12" i="13"/>
  <c r="L11" i="13"/>
  <c r="L10" i="13"/>
  <c r="L9" i="13"/>
  <c r="L8" i="13"/>
  <c r="G17" i="13"/>
  <c r="G16" i="13"/>
  <c r="G14" i="13"/>
  <c r="G13" i="13"/>
  <c r="G12" i="13"/>
  <c r="G11" i="13"/>
  <c r="G10" i="13"/>
  <c r="G9" i="13"/>
  <c r="G8" i="13"/>
  <c r="BA20" i="16" l="1"/>
  <c r="AW31" i="16"/>
  <c r="AW32" i="16" s="1"/>
  <c r="AV20" i="16"/>
  <c r="AV25" i="16" s="1"/>
  <c r="AV27" i="16" s="1"/>
  <c r="AR31" i="16"/>
  <c r="AD68" i="4"/>
  <c r="BA25" i="16" l="1"/>
  <c r="BA27" i="16" s="1"/>
  <c r="BA30" i="16" s="1"/>
  <c r="BA31" i="16"/>
  <c r="BA32" i="16" s="1"/>
  <c r="AV31" i="16"/>
  <c r="AV32" i="16" s="1"/>
  <c r="AR32" i="16"/>
  <c r="AD42" i="6"/>
  <c r="AC42" i="6" l="1"/>
  <c r="AC32" i="6" l="1"/>
  <c r="AC50" i="6"/>
  <c r="AC63" i="6"/>
  <c r="AI17" i="14"/>
  <c r="AI24" i="14"/>
  <c r="AI5" i="14" s="1"/>
  <c r="AI29" i="14"/>
  <c r="AC68" i="4"/>
  <c r="AO10" i="16"/>
  <c r="AO5" i="16"/>
  <c r="AI10" i="16"/>
  <c r="AI5" i="16"/>
  <c r="AI20" i="16" l="1"/>
  <c r="AI31" i="16" s="1"/>
  <c r="AI32" i="16" s="1"/>
  <c r="AO20" i="16"/>
  <c r="AI25" i="16"/>
  <c r="AI27" i="16" s="1"/>
  <c r="AI30" i="16" s="1"/>
  <c r="AC64" i="6"/>
  <c r="AO31" i="16" l="1"/>
  <c r="AO25" i="16"/>
  <c r="AH9" i="16"/>
  <c r="AO27" i="16" l="1"/>
  <c r="AO32" i="16"/>
  <c r="AK23" i="16"/>
  <c r="AB42" i="6" l="1"/>
  <c r="AB68" i="4"/>
  <c r="AB35" i="4"/>
  <c r="AB22" i="4"/>
  <c r="AQ23" i="16" l="1"/>
  <c r="AA35" i="4" l="1"/>
  <c r="AK29" i="14" l="1"/>
  <c r="AJ29" i="14"/>
  <c r="AH29" i="14"/>
  <c r="AG29" i="14"/>
  <c r="AK24" i="14"/>
  <c r="AK5" i="14" s="1"/>
  <c r="AJ24" i="14"/>
  <c r="AH24" i="14"/>
  <c r="AG24" i="14"/>
  <c r="AJ17" i="14"/>
  <c r="AH17" i="14"/>
  <c r="AG17" i="14"/>
  <c r="AJ7" i="14"/>
  <c r="AG7" i="14"/>
  <c r="AG5" i="14" s="1"/>
  <c r="AD63" i="6"/>
  <c r="AB63" i="6"/>
  <c r="AA63" i="6"/>
  <c r="AD50" i="6"/>
  <c r="AB50" i="6"/>
  <c r="AA50" i="6"/>
  <c r="AB6" i="6"/>
  <c r="AA6" i="6"/>
  <c r="AA29" i="6" s="1"/>
  <c r="AA32" i="6" s="1"/>
  <c r="AA68" i="4"/>
  <c r="AD57" i="4"/>
  <c r="AC57" i="4"/>
  <c r="AB57" i="4"/>
  <c r="AA57" i="4"/>
  <c r="AD48" i="4"/>
  <c r="AC46" i="4"/>
  <c r="AB46" i="4"/>
  <c r="AB48" i="4" s="1"/>
  <c r="AA46" i="4"/>
  <c r="AA48" i="4" s="1"/>
  <c r="AB36" i="4"/>
  <c r="AC48" i="4" l="1"/>
  <c r="AC36" i="4"/>
  <c r="AJ5" i="14"/>
  <c r="AH5" i="14"/>
  <c r="AA64" i="6"/>
  <c r="AA36" i="4"/>
  <c r="AD69" i="4"/>
  <c r="AD70" i="4" s="1"/>
  <c r="AD36" i="4"/>
  <c r="AA69" i="4"/>
  <c r="AA70" i="4" s="1"/>
  <c r="AB69" i="4"/>
  <c r="AB70" i="4" s="1"/>
  <c r="AC69" i="4"/>
  <c r="AC70" i="4" l="1"/>
  <c r="AK29" i="16"/>
  <c r="AK28" i="16"/>
  <c r="AK24" i="16"/>
  <c r="AK22" i="16"/>
  <c r="AK21" i="16"/>
  <c r="AK19" i="16"/>
  <c r="AK18" i="16"/>
  <c r="AK17" i="16"/>
  <c r="AK16" i="16"/>
  <c r="AK15" i="16"/>
  <c r="AK14" i="16"/>
  <c r="AK13" i="16"/>
  <c r="AK12" i="16"/>
  <c r="AK11" i="16"/>
  <c r="AJ10" i="16"/>
  <c r="AH10" i="16"/>
  <c r="AG10" i="16"/>
  <c r="AK9" i="16"/>
  <c r="AK8" i="16"/>
  <c r="AK7" i="16"/>
  <c r="AK6" i="16"/>
  <c r="AJ5" i="16"/>
  <c r="AH5" i="16"/>
  <c r="AG5" i="16"/>
  <c r="AQ29" i="16"/>
  <c r="AQ28" i="16"/>
  <c r="AQ24" i="16"/>
  <c r="AQ22" i="16"/>
  <c r="AQ21" i="16"/>
  <c r="AQ19" i="16"/>
  <c r="AQ18" i="16"/>
  <c r="AQ17" i="16"/>
  <c r="AQ16" i="16"/>
  <c r="AQ15" i="16"/>
  <c r="AQ14" i="16"/>
  <c r="AQ13" i="16"/>
  <c r="AQ12" i="16"/>
  <c r="AQ11" i="16"/>
  <c r="AP10" i="16"/>
  <c r="AN10" i="16"/>
  <c r="AM10" i="16"/>
  <c r="AQ9" i="16"/>
  <c r="AQ8" i="16"/>
  <c r="AQ7" i="16"/>
  <c r="AQ6" i="16"/>
  <c r="AP5" i="16"/>
  <c r="AN5" i="16"/>
  <c r="AM5" i="16"/>
  <c r="AG20" i="16" l="1"/>
  <c r="AP20" i="16"/>
  <c r="AJ20" i="16"/>
  <c r="AJ25" i="16" s="1"/>
  <c r="AN20" i="16"/>
  <c r="AQ10" i="16"/>
  <c r="AH20" i="16"/>
  <c r="AH31" i="16" s="1"/>
  <c r="AH32" i="16" s="1"/>
  <c r="AK10" i="16"/>
  <c r="AK5" i="16"/>
  <c r="AG31" i="16"/>
  <c r="AG25" i="16"/>
  <c r="AQ5" i="16"/>
  <c r="AM20" i="16"/>
  <c r="AN31" i="16" l="1"/>
  <c r="AN32" i="16" s="1"/>
  <c r="AN25" i="16"/>
  <c r="AN27" i="16" s="1"/>
  <c r="AN30" i="16" s="1"/>
  <c r="AP31" i="16"/>
  <c r="AP32" i="16" s="1"/>
  <c r="AP25" i="16"/>
  <c r="AG32" i="16"/>
  <c r="AG27" i="16"/>
  <c r="AG30" i="16" s="1"/>
  <c r="AP27" i="16"/>
  <c r="AJ31" i="16"/>
  <c r="AJ32" i="16" s="1"/>
  <c r="AQ20" i="16"/>
  <c r="AQ25" i="16" s="1"/>
  <c r="AQ27" i="16" s="1"/>
  <c r="AH25" i="16"/>
  <c r="AH27" i="16" s="1"/>
  <c r="AH30" i="16" s="1"/>
  <c r="AK20" i="16"/>
  <c r="AK31" i="16" s="1"/>
  <c r="AK32" i="16" s="1"/>
  <c r="AM31" i="16"/>
  <c r="AM25" i="16"/>
  <c r="AM27" i="16" l="1"/>
  <c r="AM32" i="16"/>
  <c r="AQ30" i="16"/>
  <c r="AB29" i="6"/>
  <c r="AB32" i="6" s="1"/>
  <c r="AB64" i="6" s="1"/>
  <c r="AQ31" i="16"/>
  <c r="AK25" i="16"/>
  <c r="AF24" i="16"/>
  <c r="AM30" i="16" l="1"/>
  <c r="AQ32" i="16"/>
  <c r="AF23" i="16"/>
  <c r="AA23" i="16"/>
  <c r="Q23" i="16"/>
  <c r="L23" i="16"/>
  <c r="G23" i="16"/>
  <c r="AD10" i="16" l="1"/>
  <c r="AF26" i="14" l="1"/>
  <c r="AF27" i="14"/>
  <c r="AF25" i="14"/>
  <c r="AF29" i="14"/>
  <c r="AE29" i="14"/>
  <c r="AE24" i="14"/>
  <c r="AF17" i="14"/>
  <c r="AE17" i="14"/>
  <c r="AE7" i="14"/>
  <c r="AF8" i="14"/>
  <c r="AF9" i="14"/>
  <c r="AF10" i="14"/>
  <c r="AF11" i="14"/>
  <c r="AF12" i="14"/>
  <c r="Z6" i="6"/>
  <c r="Z29" i="6" s="1"/>
  <c r="Z32" i="6" s="1"/>
  <c r="Z63" i="6"/>
  <c r="Z50" i="6"/>
  <c r="Z35" i="4"/>
  <c r="Z68" i="4"/>
  <c r="Z57" i="4"/>
  <c r="Z46" i="4"/>
  <c r="Z48" i="4" s="1"/>
  <c r="AF29" i="16"/>
  <c r="AF28" i="16"/>
  <c r="AF26" i="16"/>
  <c r="AF22" i="16"/>
  <c r="AF21" i="16"/>
  <c r="AF19" i="16"/>
  <c r="AF18" i="16"/>
  <c r="AF17" i="16"/>
  <c r="AF16" i="16"/>
  <c r="AF15" i="16"/>
  <c r="AF14" i="16"/>
  <c r="AF13" i="16"/>
  <c r="AF12" i="16"/>
  <c r="AF11" i="16"/>
  <c r="AF7" i="16"/>
  <c r="AF8" i="16"/>
  <c r="AF9" i="16"/>
  <c r="AF6" i="16"/>
  <c r="AE5" i="16"/>
  <c r="AE10" i="16"/>
  <c r="AF24" i="14" l="1"/>
  <c r="AE5" i="14"/>
  <c r="AF7" i="14"/>
  <c r="Z64" i="6"/>
  <c r="Z69" i="4"/>
  <c r="Z70" i="4" s="1"/>
  <c r="Z36" i="4"/>
  <c r="AF10" i="16"/>
  <c r="AE20" i="16"/>
  <c r="AE25" i="16" s="1"/>
  <c r="AF5" i="16"/>
  <c r="AD29" i="14"/>
  <c r="AD24" i="14"/>
  <c r="AD17" i="14"/>
  <c r="AD7" i="14"/>
  <c r="Y63" i="6"/>
  <c r="Y50" i="6"/>
  <c r="Y6" i="6"/>
  <c r="Y29" i="6" s="1"/>
  <c r="Y32" i="6" s="1"/>
  <c r="Y68" i="4"/>
  <c r="Y57" i="4"/>
  <c r="Y46" i="4"/>
  <c r="Y48" i="4" s="1"/>
  <c r="Y35" i="4"/>
  <c r="Y22" i="4"/>
  <c r="AD5" i="16"/>
  <c r="Y36" i="4" l="1"/>
  <c r="AF5" i="14"/>
  <c r="AD5" i="14"/>
  <c r="AE31" i="16"/>
  <c r="AE32" i="16" s="1"/>
  <c r="AE27" i="16"/>
  <c r="AE30" i="16" s="1"/>
  <c r="Y64" i="6"/>
  <c r="Y69" i="4"/>
  <c r="Y70" i="4" s="1"/>
  <c r="AF20" i="16"/>
  <c r="AF25" i="16" s="1"/>
  <c r="AD20" i="16"/>
  <c r="AD25" i="16" s="1"/>
  <c r="AF27" i="16" l="1"/>
  <c r="AD27" i="16"/>
  <c r="AD30" i="16" s="1"/>
  <c r="AD31" i="16"/>
  <c r="AD32" i="16" s="1"/>
  <c r="AF31" i="16"/>
  <c r="AF32" i="16" s="1"/>
  <c r="AF30" i="16" l="1"/>
  <c r="AC29" i="14"/>
  <c r="AC24" i="14"/>
  <c r="AC17" i="14"/>
  <c r="AC7" i="14"/>
  <c r="X63" i="6"/>
  <c r="X50" i="6"/>
  <c r="X6" i="6"/>
  <c r="X68" i="4"/>
  <c r="X57" i="4"/>
  <c r="X46" i="4"/>
  <c r="X48" i="4" s="1"/>
  <c r="X35" i="4"/>
  <c r="X22" i="4"/>
  <c r="AC10" i="16"/>
  <c r="AC5" i="16"/>
  <c r="AC20" i="16" l="1"/>
  <c r="AC25" i="16" s="1"/>
  <c r="AC27" i="16" s="1"/>
  <c r="AC30" i="16" s="1"/>
  <c r="X36" i="4"/>
  <c r="X69" i="4"/>
  <c r="X70" i="4" s="1"/>
  <c r="AC5" i="14"/>
  <c r="AC31" i="16" l="1"/>
  <c r="AC32" i="16" s="1"/>
  <c r="W61" i="6"/>
  <c r="Z10" i="16" l="1"/>
  <c r="Y10" i="16"/>
  <c r="X10" i="16"/>
  <c r="W10" i="16"/>
  <c r="V10" i="16"/>
  <c r="U10" i="16"/>
  <c r="T10" i="16"/>
  <c r="S10" i="16"/>
  <c r="R10" i="16"/>
  <c r="P10" i="16"/>
  <c r="O10" i="16"/>
  <c r="N10" i="16"/>
  <c r="M10" i="16"/>
  <c r="K10" i="16"/>
  <c r="J10" i="16"/>
  <c r="I10" i="16"/>
  <c r="H10" i="16"/>
  <c r="F10" i="16"/>
  <c r="E10" i="16"/>
  <c r="D10" i="16"/>
  <c r="C10" i="16"/>
  <c r="AB10" i="16"/>
  <c r="AA11" i="16"/>
  <c r="AB29" i="14"/>
  <c r="AB24" i="14"/>
  <c r="AB17" i="14"/>
  <c r="AB7" i="14"/>
  <c r="W63" i="6"/>
  <c r="W50" i="6"/>
  <c r="W6" i="6"/>
  <c r="W68" i="4"/>
  <c r="W57" i="4"/>
  <c r="W46" i="4"/>
  <c r="W48" i="4" s="1"/>
  <c r="W35" i="4"/>
  <c r="W22" i="4"/>
  <c r="AB5" i="16"/>
  <c r="AB5" i="14" l="1"/>
  <c r="W69" i="4"/>
  <c r="W70" i="4" s="1"/>
  <c r="W36" i="4"/>
  <c r="AB20" i="16"/>
  <c r="AB25" i="16" s="1"/>
  <c r="AB27" i="16" l="1"/>
  <c r="AB31" i="16"/>
  <c r="AB32" i="16" s="1"/>
  <c r="AA16" i="14"/>
  <c r="X29" i="6" l="1"/>
  <c r="X32" i="6" s="1"/>
  <c r="X64" i="6" s="1"/>
  <c r="AB30" i="16"/>
  <c r="W29" i="6"/>
  <c r="W32" i="6" s="1"/>
  <c r="W64" i="6" s="1"/>
  <c r="T12" i="13"/>
  <c r="R12" i="13"/>
  <c r="AA29" i="16"/>
  <c r="AA28" i="16"/>
  <c r="AA26" i="16"/>
  <c r="Q26" i="16"/>
  <c r="L26" i="16"/>
  <c r="G26" i="16"/>
  <c r="AA22" i="16"/>
  <c r="Q22" i="16"/>
  <c r="L22" i="16"/>
  <c r="G22" i="16"/>
  <c r="AA21" i="16"/>
  <c r="Q21" i="16"/>
  <c r="L21" i="16"/>
  <c r="G21" i="16"/>
  <c r="AA19" i="16"/>
  <c r="Q19" i="16"/>
  <c r="L19" i="16"/>
  <c r="G19" i="16"/>
  <c r="AA18" i="16"/>
  <c r="Q18" i="16"/>
  <c r="L18" i="16"/>
  <c r="G18" i="16"/>
  <c r="AA17" i="16"/>
  <c r="Q17" i="16"/>
  <c r="L17" i="16"/>
  <c r="G17" i="16"/>
  <c r="AA13" i="16"/>
  <c r="Q13" i="16"/>
  <c r="L13" i="16"/>
  <c r="G13" i="16"/>
  <c r="AA16" i="16"/>
  <c r="Q16" i="16"/>
  <c r="L16" i="16"/>
  <c r="G16" i="16"/>
  <c r="Q11" i="16"/>
  <c r="L11" i="16"/>
  <c r="G11" i="16"/>
  <c r="AA12" i="16"/>
  <c r="Q12" i="16"/>
  <c r="L12" i="16"/>
  <c r="G12" i="16"/>
  <c r="AA15" i="16"/>
  <c r="Q15" i="16"/>
  <c r="L15" i="16"/>
  <c r="G15" i="16"/>
  <c r="AA14" i="16"/>
  <c r="Q14" i="16"/>
  <c r="L14" i="16"/>
  <c r="G14" i="16"/>
  <c r="AA9" i="16"/>
  <c r="Q9" i="16"/>
  <c r="L9" i="16"/>
  <c r="G9" i="16"/>
  <c r="AA8" i="16"/>
  <c r="Q8" i="16"/>
  <c r="L8" i="16"/>
  <c r="G8" i="16"/>
  <c r="AA7" i="16"/>
  <c r="Q7" i="16"/>
  <c r="L7" i="16"/>
  <c r="G7" i="16"/>
  <c r="AA6" i="16"/>
  <c r="Q6" i="16"/>
  <c r="L6" i="16"/>
  <c r="G6" i="16"/>
  <c r="G5" i="16" s="1"/>
  <c r="Z5" i="16"/>
  <c r="Y5" i="16"/>
  <c r="X5" i="16"/>
  <c r="W5" i="16"/>
  <c r="V5" i="16"/>
  <c r="U5" i="16"/>
  <c r="T5" i="16"/>
  <c r="S5" i="16"/>
  <c r="R5" i="16"/>
  <c r="P5" i="16"/>
  <c r="O5" i="16"/>
  <c r="N5" i="16"/>
  <c r="M5" i="16"/>
  <c r="K5" i="16"/>
  <c r="J5" i="16"/>
  <c r="I5" i="16"/>
  <c r="H5" i="16"/>
  <c r="F5" i="16"/>
  <c r="E5" i="16"/>
  <c r="D5" i="16"/>
  <c r="C5" i="16"/>
  <c r="L5" i="16" l="1"/>
  <c r="Q5" i="16"/>
  <c r="AA5" i="16"/>
  <c r="L10" i="16"/>
  <c r="L20" i="16" s="1"/>
  <c r="L25" i="16" s="1"/>
  <c r="AA10" i="16"/>
  <c r="Q10" i="16"/>
  <c r="Q20" i="16" s="1"/>
  <c r="Q25" i="16" s="1"/>
  <c r="G10" i="16"/>
  <c r="G20" i="16" s="1"/>
  <c r="G25" i="16" s="1"/>
  <c r="V12" i="13"/>
  <c r="C20" i="16"/>
  <c r="C25" i="16" s="1"/>
  <c r="M20" i="16"/>
  <c r="M25" i="16" s="1"/>
  <c r="U20" i="16"/>
  <c r="U25" i="16" s="1"/>
  <c r="Z20" i="16"/>
  <c r="Z25" i="16" s="1"/>
  <c r="D20" i="16"/>
  <c r="D25" i="16" s="1"/>
  <c r="E20" i="16"/>
  <c r="E25" i="16" s="1"/>
  <c r="O20" i="16"/>
  <c r="O25" i="16" s="1"/>
  <c r="F20" i="16"/>
  <c r="F25" i="16" s="1"/>
  <c r="P20" i="16"/>
  <c r="P25" i="16" s="1"/>
  <c r="N20" i="16"/>
  <c r="N25" i="16" s="1"/>
  <c r="I20" i="16"/>
  <c r="I25" i="16" s="1"/>
  <c r="R20" i="16"/>
  <c r="R25" i="16" s="1"/>
  <c r="V20" i="16"/>
  <c r="V25" i="16" s="1"/>
  <c r="S20" i="16"/>
  <c r="S25" i="16" s="1"/>
  <c r="W20" i="16"/>
  <c r="W25" i="16" s="1"/>
  <c r="AA20" i="16"/>
  <c r="AA25" i="16" s="1"/>
  <c r="K20" i="16"/>
  <c r="K25" i="16" s="1"/>
  <c r="T20" i="16"/>
  <c r="T25" i="16" s="1"/>
  <c r="X20" i="16"/>
  <c r="X25" i="16" s="1"/>
  <c r="Y20" i="16"/>
  <c r="Y25" i="16" s="1"/>
  <c r="J20" i="16"/>
  <c r="J25" i="16" s="1"/>
  <c r="H20" i="16"/>
  <c r="H25" i="16" s="1"/>
  <c r="P31" i="16" l="1"/>
  <c r="P32" i="16" s="1"/>
  <c r="S31" i="16"/>
  <c r="S32" i="16" s="1"/>
  <c r="S27" i="16"/>
  <c r="S30" i="16" s="1"/>
  <c r="O31" i="16"/>
  <c r="O32" i="16" s="1"/>
  <c r="U27" i="16"/>
  <c r="K27" i="16"/>
  <c r="K30" i="16" s="1"/>
  <c r="V27" i="16"/>
  <c r="E31" i="16"/>
  <c r="E32" i="16" s="1"/>
  <c r="M31" i="16"/>
  <c r="M32" i="16" s="1"/>
  <c r="Q27" i="16"/>
  <c r="Y31" i="16"/>
  <c r="Y32" i="16" s="1"/>
  <c r="Y27" i="16"/>
  <c r="Y30" i="16" s="1"/>
  <c r="AA31" i="16"/>
  <c r="AA32" i="16" s="1"/>
  <c r="R27" i="16"/>
  <c r="P27" i="16"/>
  <c r="P30" i="16" s="1"/>
  <c r="D31" i="16"/>
  <c r="D32" i="16" s="1"/>
  <c r="D27" i="16"/>
  <c r="C27" i="16"/>
  <c r="C28" i="16" s="1"/>
  <c r="T27" i="16"/>
  <c r="G27" i="16"/>
  <c r="G28" i="16" s="1"/>
  <c r="N31" i="16"/>
  <c r="N32" i="16" s="1"/>
  <c r="X31" i="16"/>
  <c r="X32" i="16" s="1"/>
  <c r="W31" i="16"/>
  <c r="W32" i="16" s="1"/>
  <c r="I31" i="16"/>
  <c r="I32" i="16" s="1"/>
  <c r="F27" i="16"/>
  <c r="Z31" i="16"/>
  <c r="Z32" i="16" s="1"/>
  <c r="Z27" i="16"/>
  <c r="Z30" i="16" s="1"/>
  <c r="V31" i="16"/>
  <c r="V32" i="16" s="1"/>
  <c r="N27" i="16"/>
  <c r="N28" i="16" s="1"/>
  <c r="C31" i="16"/>
  <c r="C32" i="16" s="1"/>
  <c r="E27" i="16"/>
  <c r="E28" i="16" s="1"/>
  <c r="Q31" i="16"/>
  <c r="Q32" i="16" s="1"/>
  <c r="M27" i="16"/>
  <c r="M28" i="16" s="1"/>
  <c r="O27" i="16"/>
  <c r="O28" i="16" s="1"/>
  <c r="U31" i="16"/>
  <c r="U32" i="16" s="1"/>
  <c r="F31" i="16"/>
  <c r="F32" i="16" s="1"/>
  <c r="T31" i="16"/>
  <c r="T32" i="16" s="1"/>
  <c r="X27" i="16"/>
  <c r="X30" i="16" s="1"/>
  <c r="R31" i="16"/>
  <c r="R32" i="16" s="1"/>
  <c r="AA27" i="16"/>
  <c r="AA30" i="16" s="1"/>
  <c r="G31" i="16"/>
  <c r="G32" i="16" s="1"/>
  <c r="K31" i="16"/>
  <c r="K32" i="16" s="1"/>
  <c r="I27" i="16"/>
  <c r="I30" i="16" s="1"/>
  <c r="W27" i="16"/>
  <c r="L31" i="16"/>
  <c r="L32" i="16" s="1"/>
  <c r="L27" i="16"/>
  <c r="J31" i="16"/>
  <c r="J32" i="16" s="1"/>
  <c r="J27" i="16"/>
  <c r="H31" i="16"/>
  <c r="H32" i="16" s="1"/>
  <c r="H27" i="16"/>
  <c r="P28" i="16" l="1"/>
  <c r="K28" i="16"/>
  <c r="Q28" i="16"/>
  <c r="Q30" i="16"/>
  <c r="D28" i="16"/>
  <c r="D30" i="16"/>
  <c r="R5" i="6"/>
  <c r="V28" i="16"/>
  <c r="V30" i="16"/>
  <c r="R28" i="16"/>
  <c r="R30" i="16"/>
  <c r="T28" i="16"/>
  <c r="T30" i="16"/>
  <c r="F30" i="16"/>
  <c r="F28" i="16"/>
  <c r="U30" i="16"/>
  <c r="U28" i="16"/>
  <c r="C30" i="16"/>
  <c r="G30" i="16"/>
  <c r="E30" i="16"/>
  <c r="N30" i="16"/>
  <c r="M30" i="16"/>
  <c r="L5" i="6"/>
  <c r="O30" i="16"/>
  <c r="V5" i="6"/>
  <c r="S28" i="16"/>
  <c r="W30" i="16"/>
  <c r="T5" i="6"/>
  <c r="U5" i="6" s="1"/>
  <c r="S5" i="6"/>
  <c r="I28" i="16"/>
  <c r="Q5" i="6"/>
  <c r="H30" i="16"/>
  <c r="H28" i="16"/>
  <c r="J28" i="16"/>
  <c r="J30" i="16"/>
  <c r="L30" i="16"/>
  <c r="L28" i="16"/>
  <c r="AA29" i="14" l="1"/>
  <c r="Z29" i="14"/>
  <c r="AA27" i="14"/>
  <c r="AA26" i="14"/>
  <c r="AA25" i="14"/>
  <c r="Z24" i="14"/>
  <c r="AA17" i="14"/>
  <c r="Z17" i="14"/>
  <c r="AA12" i="14"/>
  <c r="AA11" i="14"/>
  <c r="AA10" i="14"/>
  <c r="AA9" i="14"/>
  <c r="AA8" i="14"/>
  <c r="Z7" i="14"/>
  <c r="V63" i="6"/>
  <c r="V50" i="6"/>
  <c r="V6" i="6"/>
  <c r="V68" i="4"/>
  <c r="V57" i="4"/>
  <c r="V46" i="4"/>
  <c r="V48" i="4" s="1"/>
  <c r="V35" i="4"/>
  <c r="V22" i="4"/>
  <c r="AA24" i="14" l="1"/>
  <c r="AA7" i="14"/>
  <c r="Z5" i="14"/>
  <c r="V29" i="6"/>
  <c r="V32" i="6" s="1"/>
  <c r="V64" i="6" s="1"/>
  <c r="V69" i="4"/>
  <c r="V70" i="4" s="1"/>
  <c r="V36" i="4"/>
  <c r="AA5" i="14" l="1"/>
  <c r="Y29" i="14" l="1"/>
  <c r="Y24" i="14"/>
  <c r="Y17" i="14"/>
  <c r="Y7" i="14"/>
  <c r="U63" i="6"/>
  <c r="U50" i="6"/>
  <c r="U6" i="6"/>
  <c r="U68" i="4"/>
  <c r="U57" i="4"/>
  <c r="U46" i="4"/>
  <c r="U48" i="4" s="1"/>
  <c r="U35" i="4"/>
  <c r="U22" i="4"/>
  <c r="Y5" i="14" l="1"/>
  <c r="U69" i="4"/>
  <c r="U70" i="4" s="1"/>
  <c r="U36" i="4"/>
  <c r="U29" i="6"/>
  <c r="U32" i="6" s="1"/>
  <c r="U64" i="6" s="1"/>
  <c r="X29" i="14" l="1"/>
  <c r="X24" i="14"/>
  <c r="X17" i="14"/>
  <c r="X7" i="14"/>
  <c r="T63" i="6"/>
  <c r="T50" i="6"/>
  <c r="T6" i="6"/>
  <c r="T68" i="4"/>
  <c r="T57" i="4"/>
  <c r="T46" i="4"/>
  <c r="T48" i="4" s="1"/>
  <c r="T35" i="4"/>
  <c r="T22" i="4"/>
  <c r="X5" i="14" l="1"/>
  <c r="T69" i="4"/>
  <c r="T70" i="4" s="1"/>
  <c r="T36" i="4"/>
  <c r="C6" i="4"/>
  <c r="W29" i="14" l="1"/>
  <c r="W24" i="14"/>
  <c r="W17" i="14"/>
  <c r="W7" i="14"/>
  <c r="S63" i="6"/>
  <c r="S50" i="6"/>
  <c r="S6" i="6"/>
  <c r="S68" i="4"/>
  <c r="S57" i="4"/>
  <c r="S46" i="4"/>
  <c r="S48" i="4" s="1"/>
  <c r="S35" i="4"/>
  <c r="S22" i="4"/>
  <c r="T13" i="13" l="1"/>
  <c r="W5" i="14"/>
  <c r="S69" i="4"/>
  <c r="S70" i="4" s="1"/>
  <c r="S36" i="4"/>
  <c r="V26" i="14" l="1"/>
  <c r="V27" i="14"/>
  <c r="V25" i="14"/>
  <c r="V12" i="14"/>
  <c r="V11" i="14"/>
  <c r="V10" i="14"/>
  <c r="V9" i="14"/>
  <c r="V8" i="14"/>
  <c r="U7" i="14"/>
  <c r="V29" i="14"/>
  <c r="U29" i="14"/>
  <c r="U24" i="14"/>
  <c r="V17" i="14"/>
  <c r="U17" i="14"/>
  <c r="R63" i="6"/>
  <c r="R50" i="6"/>
  <c r="R6" i="6"/>
  <c r="R68" i="4"/>
  <c r="R57" i="4"/>
  <c r="R46" i="4"/>
  <c r="R48" i="4" s="1"/>
  <c r="R35" i="4"/>
  <c r="R22" i="4"/>
  <c r="V24" i="14" l="1"/>
  <c r="V7" i="14"/>
  <c r="T29" i="6"/>
  <c r="T32" i="6" s="1"/>
  <c r="T64" i="6" s="1"/>
  <c r="S29" i="6"/>
  <c r="S32" i="6" s="1"/>
  <c r="S64" i="6" s="1"/>
  <c r="U5" i="14"/>
  <c r="R69" i="4"/>
  <c r="R70" i="4" s="1"/>
  <c r="R36" i="4"/>
  <c r="V5" i="14" l="1"/>
  <c r="R29" i="6"/>
  <c r="R32" i="6" s="1"/>
  <c r="R64" i="6" s="1"/>
  <c r="R67" i="6" s="1"/>
  <c r="V65" i="6" l="1"/>
  <c r="V67" i="6" s="1"/>
  <c r="Y65" i="6" s="1"/>
  <c r="Z65" i="6" s="1"/>
  <c r="U65" i="6"/>
  <c r="U67" i="6" s="1"/>
  <c r="T65" i="6"/>
  <c r="T67" i="6" s="1"/>
  <c r="S65" i="6"/>
  <c r="S67" i="6" s="1"/>
  <c r="H28" i="6"/>
  <c r="I28" i="6"/>
  <c r="Z67" i="6" l="1"/>
  <c r="Y67" i="6"/>
  <c r="W65" i="6"/>
  <c r="W67" i="6" s="1"/>
  <c r="X65" i="6"/>
  <c r="X67" i="6" s="1"/>
  <c r="L32" i="14"/>
  <c r="L31" i="14"/>
  <c r="L30" i="14"/>
  <c r="T29" i="14"/>
  <c r="S29" i="14"/>
  <c r="R29" i="14"/>
  <c r="Q29" i="14"/>
  <c r="P29" i="14"/>
  <c r="O29" i="14"/>
  <c r="N29" i="14"/>
  <c r="M29" i="14"/>
  <c r="K29" i="14"/>
  <c r="J29" i="14"/>
  <c r="I29" i="14"/>
  <c r="H29" i="14"/>
  <c r="L27" i="14"/>
  <c r="L26" i="14"/>
  <c r="L25" i="14"/>
  <c r="T24" i="14"/>
  <c r="S24" i="14"/>
  <c r="R24" i="14"/>
  <c r="Q24" i="14"/>
  <c r="P24" i="14"/>
  <c r="O24" i="14"/>
  <c r="N24" i="14"/>
  <c r="M24" i="14"/>
  <c r="K24" i="14"/>
  <c r="J24" i="14"/>
  <c r="I24" i="14"/>
  <c r="H24" i="14"/>
  <c r="L22" i="14"/>
  <c r="G22" i="14"/>
  <c r="L21" i="14"/>
  <c r="G21" i="14"/>
  <c r="L20" i="14"/>
  <c r="G20" i="14"/>
  <c r="L19" i="14"/>
  <c r="G19" i="14"/>
  <c r="L18" i="14"/>
  <c r="G18" i="14"/>
  <c r="T17" i="14"/>
  <c r="S17" i="14"/>
  <c r="R17" i="14"/>
  <c r="Q17" i="14"/>
  <c r="P17" i="14"/>
  <c r="O17" i="14"/>
  <c r="N17" i="14"/>
  <c r="M17" i="14"/>
  <c r="K17" i="14"/>
  <c r="J17" i="14"/>
  <c r="I17" i="14"/>
  <c r="H17" i="14"/>
  <c r="F17" i="14"/>
  <c r="E17" i="14"/>
  <c r="D17" i="14"/>
  <c r="C17" i="14"/>
  <c r="O15" i="14"/>
  <c r="L15" i="14"/>
  <c r="G15" i="14"/>
  <c r="L12" i="14"/>
  <c r="G12" i="14"/>
  <c r="L11" i="14"/>
  <c r="G11" i="14"/>
  <c r="L10" i="14"/>
  <c r="G10" i="14"/>
  <c r="L9" i="14"/>
  <c r="G9" i="14"/>
  <c r="L8" i="14"/>
  <c r="G8" i="14"/>
  <c r="T7" i="14"/>
  <c r="S7" i="14"/>
  <c r="R7" i="14"/>
  <c r="R16" i="14" s="1"/>
  <c r="Q7" i="14"/>
  <c r="P7" i="14"/>
  <c r="O7" i="14"/>
  <c r="N7" i="14"/>
  <c r="N16" i="14" s="1"/>
  <c r="M7" i="14"/>
  <c r="M16" i="14" s="1"/>
  <c r="K7" i="14"/>
  <c r="K16" i="14" s="1"/>
  <c r="J7" i="14"/>
  <c r="J16" i="14" s="1"/>
  <c r="I7" i="14"/>
  <c r="I16" i="14" s="1"/>
  <c r="H7" i="14"/>
  <c r="F7" i="14"/>
  <c r="F16" i="14" s="1"/>
  <c r="E7" i="14"/>
  <c r="E16" i="14" s="1"/>
  <c r="D7" i="14"/>
  <c r="D16" i="14" s="1"/>
  <c r="C7" i="14"/>
  <c r="C16" i="14" s="1"/>
  <c r="AA65" i="6" l="1"/>
  <c r="AA67" i="6" s="1"/>
  <c r="AC65" i="6"/>
  <c r="AD65" i="6" s="1"/>
  <c r="AB65" i="6"/>
  <c r="J5" i="14"/>
  <c r="H5" i="14"/>
  <c r="Q5" i="14"/>
  <c r="M5" i="14"/>
  <c r="G7" i="14"/>
  <c r="G16" i="14" s="1"/>
  <c r="L17" i="14"/>
  <c r="S5" i="14"/>
  <c r="O5" i="14"/>
  <c r="L29" i="14"/>
  <c r="L7" i="14"/>
  <c r="L16" i="14" s="1"/>
  <c r="L24" i="14"/>
  <c r="I5" i="14"/>
  <c r="R5" i="14"/>
  <c r="G17" i="14"/>
  <c r="N5" i="14"/>
  <c r="H16" i="14"/>
  <c r="P5" i="14"/>
  <c r="T5" i="14"/>
  <c r="K5" i="14"/>
  <c r="AC67" i="6" l="1"/>
  <c r="AB67" i="6"/>
  <c r="L5" i="14"/>
  <c r="C63" i="6"/>
  <c r="J63" i="6"/>
  <c r="K63" i="6"/>
  <c r="L63" i="6"/>
  <c r="M63" i="6"/>
  <c r="N63" i="6"/>
  <c r="O63" i="6"/>
  <c r="P63" i="6"/>
  <c r="Q63" i="6"/>
  <c r="K67" i="4"/>
  <c r="J67" i="4"/>
  <c r="I67" i="4"/>
  <c r="H67" i="4"/>
  <c r="G67" i="4"/>
  <c r="F67" i="4"/>
  <c r="E67" i="4"/>
  <c r="D67" i="4"/>
  <c r="K66" i="4"/>
  <c r="J66" i="4"/>
  <c r="I66" i="4"/>
  <c r="H66" i="4"/>
  <c r="G66" i="4"/>
  <c r="F66" i="4"/>
  <c r="E66" i="4"/>
  <c r="D66" i="4"/>
  <c r="K65" i="4"/>
  <c r="J65" i="4"/>
  <c r="I65" i="4"/>
  <c r="H65" i="4"/>
  <c r="G65" i="4"/>
  <c r="F65" i="4"/>
  <c r="E65" i="4"/>
  <c r="D65" i="4"/>
  <c r="K63" i="4"/>
  <c r="J63" i="4"/>
  <c r="I63" i="4"/>
  <c r="H63" i="4"/>
  <c r="G63" i="4"/>
  <c r="F63" i="4"/>
  <c r="E63" i="4"/>
  <c r="D63" i="4"/>
  <c r="K60" i="4"/>
  <c r="J60" i="4"/>
  <c r="I60" i="4"/>
  <c r="H60" i="4"/>
  <c r="G60" i="4"/>
  <c r="F60" i="4"/>
  <c r="E60" i="4"/>
  <c r="D60" i="4"/>
  <c r="K59" i="4"/>
  <c r="J59" i="4"/>
  <c r="I59" i="4"/>
  <c r="H59" i="4"/>
  <c r="G59" i="4"/>
  <c r="F59" i="4"/>
  <c r="E59" i="4"/>
  <c r="D59" i="4"/>
  <c r="K58" i="4"/>
  <c r="J58" i="4"/>
  <c r="I58" i="4"/>
  <c r="H58" i="4"/>
  <c r="G58" i="4"/>
  <c r="F58" i="4"/>
  <c r="E58" i="4"/>
  <c r="D58" i="4"/>
  <c r="K55" i="4"/>
  <c r="J55" i="4"/>
  <c r="I55" i="4"/>
  <c r="H55" i="4"/>
  <c r="G55" i="4"/>
  <c r="F55" i="4"/>
  <c r="E55" i="4"/>
  <c r="D55" i="4"/>
  <c r="K54" i="4"/>
  <c r="J54" i="4"/>
  <c r="I54" i="4"/>
  <c r="H54" i="4"/>
  <c r="G54" i="4"/>
  <c r="F54" i="4"/>
  <c r="E54" i="4"/>
  <c r="D54" i="4"/>
  <c r="K53" i="4"/>
  <c r="J53" i="4"/>
  <c r="I53" i="4"/>
  <c r="H53" i="4"/>
  <c r="G53" i="4"/>
  <c r="F53" i="4"/>
  <c r="E53" i="4"/>
  <c r="D53" i="4"/>
  <c r="K51" i="4"/>
  <c r="J51" i="4"/>
  <c r="I51" i="4"/>
  <c r="H51" i="4"/>
  <c r="G51" i="4"/>
  <c r="F51" i="4"/>
  <c r="E51" i="4"/>
  <c r="D51" i="4"/>
  <c r="K50" i="4"/>
  <c r="J50" i="4"/>
  <c r="I50" i="4"/>
  <c r="H50" i="4"/>
  <c r="G50" i="4"/>
  <c r="F50" i="4"/>
  <c r="E50" i="4"/>
  <c r="D50" i="4"/>
  <c r="K49" i="4"/>
  <c r="J49" i="4"/>
  <c r="I49" i="4"/>
  <c r="H49" i="4"/>
  <c r="G49" i="4"/>
  <c r="F49" i="4"/>
  <c r="E49" i="4"/>
  <c r="D49" i="4"/>
  <c r="K45" i="4"/>
  <c r="J45" i="4"/>
  <c r="I45" i="4"/>
  <c r="H45" i="4"/>
  <c r="G45" i="4"/>
  <c r="F45" i="4"/>
  <c r="E45" i="4"/>
  <c r="D45" i="4"/>
  <c r="J44" i="4"/>
  <c r="I44" i="4"/>
  <c r="H44" i="4"/>
  <c r="G44" i="4"/>
  <c r="F44" i="4"/>
  <c r="E44" i="4"/>
  <c r="D44" i="4"/>
  <c r="K41" i="4"/>
  <c r="J41" i="4"/>
  <c r="I41" i="4"/>
  <c r="H41" i="4"/>
  <c r="G41" i="4"/>
  <c r="F41" i="4"/>
  <c r="E41" i="4"/>
  <c r="D41" i="4"/>
  <c r="K38" i="4"/>
  <c r="J38" i="4"/>
  <c r="I38" i="4"/>
  <c r="H38" i="4"/>
  <c r="G38" i="4"/>
  <c r="F38" i="4"/>
  <c r="E38" i="4"/>
  <c r="D38" i="4"/>
  <c r="K33" i="4"/>
  <c r="J33" i="4"/>
  <c r="I33" i="4"/>
  <c r="H33" i="4"/>
  <c r="G33" i="4"/>
  <c r="F33" i="4"/>
  <c r="E33" i="4"/>
  <c r="D33" i="4"/>
  <c r="K30" i="4"/>
  <c r="J30" i="4"/>
  <c r="I30" i="4"/>
  <c r="H30" i="4"/>
  <c r="G30" i="4"/>
  <c r="F30" i="4"/>
  <c r="E30" i="4"/>
  <c r="D30" i="4"/>
  <c r="K29" i="4"/>
  <c r="J29" i="4"/>
  <c r="I29" i="4"/>
  <c r="H29" i="4"/>
  <c r="G29" i="4"/>
  <c r="F29" i="4"/>
  <c r="E29" i="4"/>
  <c r="D29" i="4"/>
  <c r="K28" i="4"/>
  <c r="J28" i="4"/>
  <c r="I28" i="4"/>
  <c r="H28" i="4"/>
  <c r="G28" i="4"/>
  <c r="F28" i="4"/>
  <c r="E28" i="4"/>
  <c r="D28" i="4"/>
  <c r="K27" i="4"/>
  <c r="J27" i="4"/>
  <c r="I27" i="4"/>
  <c r="H27" i="4"/>
  <c r="G27" i="4"/>
  <c r="F27" i="4"/>
  <c r="E27" i="4"/>
  <c r="D27" i="4"/>
  <c r="K25" i="4"/>
  <c r="J25" i="4"/>
  <c r="I25" i="4"/>
  <c r="H25" i="4"/>
  <c r="G25" i="4"/>
  <c r="F25" i="4"/>
  <c r="E25" i="4"/>
  <c r="D25" i="4"/>
  <c r="K23" i="4"/>
  <c r="J23" i="4"/>
  <c r="I23" i="4"/>
  <c r="H23" i="4"/>
  <c r="G23" i="4"/>
  <c r="F23" i="4"/>
  <c r="E23" i="4"/>
  <c r="D23" i="4"/>
  <c r="K21" i="4"/>
  <c r="J21" i="4"/>
  <c r="I21" i="4"/>
  <c r="H21" i="4"/>
  <c r="G21" i="4"/>
  <c r="F21" i="4"/>
  <c r="E21" i="4"/>
  <c r="D21" i="4"/>
  <c r="K18" i="4"/>
  <c r="J18" i="4"/>
  <c r="I18" i="4"/>
  <c r="H18" i="4"/>
  <c r="G18" i="4"/>
  <c r="F18" i="4"/>
  <c r="E18" i="4"/>
  <c r="D18" i="4"/>
  <c r="K15" i="4"/>
  <c r="J15" i="4"/>
  <c r="I15" i="4"/>
  <c r="H15" i="4"/>
  <c r="G15" i="4"/>
  <c r="F15" i="4"/>
  <c r="E15" i="4"/>
  <c r="D15" i="4"/>
  <c r="K14" i="4"/>
  <c r="J14" i="4"/>
  <c r="I14" i="4"/>
  <c r="H14" i="4"/>
  <c r="G14" i="4"/>
  <c r="F14" i="4"/>
  <c r="E14" i="4"/>
  <c r="D14" i="4"/>
  <c r="K13" i="4"/>
  <c r="J13" i="4"/>
  <c r="I13" i="4"/>
  <c r="H13" i="4"/>
  <c r="G13" i="4"/>
  <c r="F13" i="4"/>
  <c r="E13" i="4"/>
  <c r="D13" i="4"/>
  <c r="K11" i="4"/>
  <c r="J11" i="4"/>
  <c r="I11" i="4"/>
  <c r="H11" i="4"/>
  <c r="G11" i="4"/>
  <c r="F11" i="4"/>
  <c r="E11" i="4"/>
  <c r="D11" i="4"/>
  <c r="K10" i="4"/>
  <c r="J10" i="4"/>
  <c r="I10" i="4"/>
  <c r="H10" i="4"/>
  <c r="G10" i="4"/>
  <c r="F10" i="4"/>
  <c r="E10" i="4"/>
  <c r="D10" i="4"/>
  <c r="K8" i="4"/>
  <c r="J8" i="4"/>
  <c r="I8" i="4"/>
  <c r="H8" i="4"/>
  <c r="G8" i="4"/>
  <c r="F8" i="4"/>
  <c r="E8" i="4"/>
  <c r="K7" i="4"/>
  <c r="J7" i="4"/>
  <c r="I7" i="4"/>
  <c r="H7" i="4"/>
  <c r="G7" i="4"/>
  <c r="F7" i="4"/>
  <c r="E7" i="4"/>
  <c r="K6" i="4"/>
  <c r="J6" i="4"/>
  <c r="I6" i="4"/>
  <c r="H6" i="4"/>
  <c r="G6" i="4"/>
  <c r="F6" i="4"/>
  <c r="E6" i="4"/>
  <c r="D8" i="4"/>
  <c r="D7" i="4"/>
  <c r="D6" i="4"/>
  <c r="E9" i="4"/>
  <c r="G9" i="4"/>
  <c r="H9" i="4"/>
  <c r="I9" i="4"/>
  <c r="J9" i="4"/>
  <c r="I34" i="4"/>
  <c r="I32" i="4"/>
  <c r="I31" i="4"/>
  <c r="I26" i="4"/>
  <c r="H56" i="4"/>
  <c r="H52" i="4"/>
  <c r="H26" i="4"/>
  <c r="G34" i="4"/>
  <c r="G32" i="4"/>
  <c r="G31" i="4"/>
  <c r="G26" i="4"/>
  <c r="F31" i="4"/>
  <c r="F26" i="4"/>
  <c r="E56" i="4"/>
  <c r="E52" i="4"/>
  <c r="E34" i="4"/>
  <c r="E26" i="4"/>
  <c r="D56" i="4"/>
  <c r="D52" i="4"/>
  <c r="D34" i="4"/>
  <c r="D32" i="4"/>
  <c r="D31" i="4"/>
  <c r="D26" i="4"/>
  <c r="C67" i="4"/>
  <c r="C66" i="4"/>
  <c r="C65" i="4"/>
  <c r="C63" i="4"/>
  <c r="C60" i="4"/>
  <c r="C59" i="4"/>
  <c r="C58" i="4"/>
  <c r="M56" i="4"/>
  <c r="L56" i="4"/>
  <c r="C56" i="4"/>
  <c r="C55" i="4"/>
  <c r="C53" i="4"/>
  <c r="C52" i="4"/>
  <c r="C51" i="4"/>
  <c r="C50" i="4"/>
  <c r="C49" i="4"/>
  <c r="C45" i="4"/>
  <c r="C43" i="4"/>
  <c r="C42" i="4"/>
  <c r="C40" i="4"/>
  <c r="C39" i="4"/>
  <c r="C38" i="4"/>
  <c r="C33" i="4"/>
  <c r="C30" i="4"/>
  <c r="C28" i="4"/>
  <c r="C27" i="4"/>
  <c r="C26" i="4"/>
  <c r="C25" i="4"/>
  <c r="C23" i="4"/>
  <c r="C21" i="4"/>
  <c r="C18" i="4"/>
  <c r="C14" i="4"/>
  <c r="C13" i="4"/>
  <c r="C11" i="4"/>
  <c r="C10" i="4"/>
  <c r="C9" i="4"/>
  <c r="C8" i="4"/>
  <c r="C7" i="4"/>
  <c r="P35" i="4"/>
  <c r="Q35" i="4"/>
  <c r="M31" i="4"/>
  <c r="M35" i="4" s="1"/>
  <c r="L31" i="4"/>
  <c r="L35" i="4" s="1"/>
  <c r="T17" i="13"/>
  <c r="R17" i="13"/>
  <c r="T16" i="13"/>
  <c r="R16" i="13"/>
  <c r="T14" i="13"/>
  <c r="R14" i="13"/>
  <c r="R13" i="13"/>
  <c r="T11" i="13"/>
  <c r="R11" i="13"/>
  <c r="T10" i="13"/>
  <c r="R10" i="13"/>
  <c r="V16" i="13" l="1"/>
  <c r="H35" i="4"/>
  <c r="C35" i="4"/>
  <c r="C57" i="4"/>
  <c r="V14" i="13"/>
  <c r="V11" i="13"/>
  <c r="V10" i="13"/>
  <c r="V9" i="13"/>
  <c r="V17" i="13"/>
  <c r="V13" i="13"/>
  <c r="V8" i="13"/>
  <c r="K35" i="4"/>
  <c r="J35" i="4"/>
  <c r="I35" i="4"/>
  <c r="G35" i="4"/>
  <c r="F35" i="4"/>
  <c r="E35" i="4"/>
  <c r="D35" i="4"/>
  <c r="Q50" i="6" l="1"/>
  <c r="Q6" i="6"/>
  <c r="Q68" i="4"/>
  <c r="Q57" i="4"/>
  <c r="Q46" i="4"/>
  <c r="Q48" i="4" s="1"/>
  <c r="Q22" i="4"/>
  <c r="Q69" i="4" l="1"/>
  <c r="Q70" i="4" s="1"/>
  <c r="Q36" i="4"/>
  <c r="P50" i="6" l="1"/>
  <c r="P6" i="6"/>
  <c r="P29" i="6" s="1"/>
  <c r="P32" i="6" s="1"/>
  <c r="P57" i="4"/>
  <c r="P68" i="4"/>
  <c r="P46" i="4"/>
  <c r="P48" i="4" s="1"/>
  <c r="P22" i="4"/>
  <c r="O68" i="4"/>
  <c r="N68" i="4"/>
  <c r="O57" i="4"/>
  <c r="N57" i="4"/>
  <c r="O22" i="4"/>
  <c r="N22" i="4"/>
  <c r="O50" i="6"/>
  <c r="O6" i="6"/>
  <c r="O29" i="6" s="1"/>
  <c r="O32" i="6" s="1"/>
  <c r="O46" i="4"/>
  <c r="O48" i="4" s="1"/>
  <c r="P69" i="4" l="1"/>
  <c r="P64" i="6"/>
  <c r="P67" i="6" s="1"/>
  <c r="P36" i="4"/>
  <c r="O64" i="6"/>
  <c r="O67" i="6" s="1"/>
  <c r="O69" i="4"/>
  <c r="N50" i="6"/>
  <c r="N6" i="6"/>
  <c r="N46" i="4"/>
  <c r="N48" i="4" s="1"/>
  <c r="P70" i="4" l="1"/>
  <c r="Q29" i="6"/>
  <c r="Q32" i="6" s="1"/>
  <c r="Q64" i="6" s="1"/>
  <c r="Q67" i="6" s="1"/>
  <c r="O70" i="4"/>
  <c r="N69" i="4"/>
  <c r="M50" i="6"/>
  <c r="M6" i="6"/>
  <c r="M68" i="4"/>
  <c r="M57" i="4"/>
  <c r="M46" i="4"/>
  <c r="M48" i="4" s="1"/>
  <c r="M22" i="4"/>
  <c r="N70" i="4" l="1"/>
  <c r="M29" i="6"/>
  <c r="M32" i="6" s="1"/>
  <c r="M64" i="6" s="1"/>
  <c r="M67" i="6" s="1"/>
  <c r="M69" i="4"/>
  <c r="M36" i="4"/>
  <c r="M70" i="4" l="1"/>
  <c r="N29" i="6" l="1"/>
  <c r="E6" i="6"/>
  <c r="D6" i="6"/>
  <c r="C6" i="6"/>
  <c r="I56" i="6"/>
  <c r="I63" i="6" s="1"/>
  <c r="H56" i="6"/>
  <c r="H63" i="6" s="1"/>
  <c r="G56" i="6"/>
  <c r="G63" i="6" s="1"/>
  <c r="F56" i="6"/>
  <c r="F63" i="6" s="1"/>
  <c r="E56" i="6"/>
  <c r="E63" i="6" s="1"/>
  <c r="D56" i="6"/>
  <c r="D63" i="6" s="1"/>
  <c r="N32" i="6" l="1"/>
  <c r="J47" i="4"/>
  <c r="K47" i="4"/>
  <c r="I47" i="4"/>
  <c r="C50" i="6"/>
  <c r="D50" i="6"/>
  <c r="E50" i="6"/>
  <c r="F50" i="6"/>
  <c r="G50" i="6"/>
  <c r="H50" i="6"/>
  <c r="I50" i="6"/>
  <c r="J50" i="6"/>
  <c r="K50" i="6"/>
  <c r="L50" i="6"/>
  <c r="O26" i="4" l="1"/>
  <c r="O35" i="4" s="1"/>
  <c r="N26" i="4"/>
  <c r="N32" i="4"/>
  <c r="N64" i="6"/>
  <c r="L6" i="6"/>
  <c r="L68" i="4"/>
  <c r="L57" i="4"/>
  <c r="L46" i="4"/>
  <c r="L48" i="4" s="1"/>
  <c r="L22" i="4"/>
  <c r="N35" i="4" l="1"/>
  <c r="I46" i="4"/>
  <c r="I48" i="4" s="1"/>
  <c r="E68" i="4"/>
  <c r="D57" i="4"/>
  <c r="J68" i="4"/>
  <c r="H46" i="4"/>
  <c r="H48" i="4" s="1"/>
  <c r="I57" i="4"/>
  <c r="J46" i="4"/>
  <c r="J48" i="4" s="1"/>
  <c r="D68" i="4"/>
  <c r="F68" i="4"/>
  <c r="J57" i="4"/>
  <c r="G46" i="4"/>
  <c r="G48" i="4" s="1"/>
  <c r="E46" i="4"/>
  <c r="E48" i="4" s="1"/>
  <c r="K68" i="4"/>
  <c r="F57" i="4"/>
  <c r="C46" i="4"/>
  <c r="C48" i="4" s="1"/>
  <c r="E57" i="4"/>
  <c r="H68" i="4"/>
  <c r="G68" i="4"/>
  <c r="K57" i="4"/>
  <c r="H57" i="4"/>
  <c r="C68" i="4"/>
  <c r="F46" i="4"/>
  <c r="F48" i="4" s="1"/>
  <c r="K22" i="4"/>
  <c r="I68" i="4"/>
  <c r="G57" i="4"/>
  <c r="D46" i="4"/>
  <c r="D48" i="4" s="1"/>
  <c r="K46" i="4"/>
  <c r="K48" i="4" s="1"/>
  <c r="N67" i="6"/>
  <c r="G22" i="4"/>
  <c r="F22" i="4"/>
  <c r="H22" i="4"/>
  <c r="C22" i="4"/>
  <c r="I22" i="4"/>
  <c r="J22" i="4"/>
  <c r="E22" i="4"/>
  <c r="D22" i="4"/>
  <c r="L36" i="4"/>
  <c r="L69" i="4"/>
  <c r="E69" i="4" l="1"/>
  <c r="E70" i="4" s="1"/>
  <c r="I69" i="4"/>
  <c r="I70" i="4" s="1"/>
  <c r="C69" i="4"/>
  <c r="C70" i="4" s="1"/>
  <c r="K69" i="4"/>
  <c r="K70" i="4" s="1"/>
  <c r="J69" i="4"/>
  <c r="J70" i="4" s="1"/>
  <c r="G36" i="4"/>
  <c r="F69" i="4"/>
  <c r="F70" i="4" s="1"/>
  <c r="D69" i="4"/>
  <c r="D70" i="4" s="1"/>
  <c r="H69" i="4"/>
  <c r="H70" i="4" s="1"/>
  <c r="J36" i="4"/>
  <c r="O36" i="4"/>
  <c r="G69" i="4"/>
  <c r="G70" i="4" s="1"/>
  <c r="H36" i="4"/>
  <c r="N36" i="4"/>
  <c r="E36" i="4"/>
  <c r="D36" i="4"/>
  <c r="L70" i="4"/>
  <c r="C36" i="4"/>
  <c r="F36" i="4"/>
  <c r="K36" i="4"/>
  <c r="I36" i="4"/>
  <c r="L29" i="6" l="1"/>
  <c r="L32" i="6" s="1"/>
  <c r="L64" i="6" s="1"/>
  <c r="L67" i="6" s="1"/>
  <c r="D29" i="6" l="1"/>
  <c r="D32" i="6" s="1"/>
  <c r="D64" i="6" l="1"/>
  <c r="D67" i="6" s="1"/>
  <c r="F6" i="6" l="1"/>
  <c r="F29" i="6" s="1"/>
  <c r="F32" i="6" s="1"/>
  <c r="F64" i="6" s="1"/>
  <c r="F67" i="6" s="1"/>
  <c r="K6" i="6"/>
  <c r="K29" i="6" s="1"/>
  <c r="K32" i="6" s="1"/>
  <c r="K64" i="6" s="1"/>
  <c r="K67" i="6" s="1"/>
  <c r="C29" i="6"/>
  <c r="C32" i="6" s="1"/>
  <c r="C64" i="6" s="1"/>
  <c r="C67" i="6" s="1"/>
  <c r="G6" i="6"/>
  <c r="G29" i="6" s="1"/>
  <c r="G32" i="6" s="1"/>
  <c r="G64" i="6" s="1"/>
  <c r="G67" i="6" s="1"/>
  <c r="H6" i="6"/>
  <c r="H29" i="6" s="1"/>
  <c r="H32" i="6" s="1"/>
  <c r="H64" i="6" s="1"/>
  <c r="H67" i="6" s="1"/>
  <c r="E29" i="6"/>
  <c r="E32" i="6" s="1"/>
  <c r="E64" i="6" s="1"/>
  <c r="E67" i="6" s="1"/>
  <c r="J6" i="6"/>
  <c r="J29" i="6" s="1"/>
  <c r="J32" i="6" s="1"/>
  <c r="J64" i="6" s="1"/>
  <c r="J67" i="6" s="1"/>
  <c r="I6" i="6"/>
  <c r="I29" i="6" s="1"/>
  <c r="I32" i="6" s="1"/>
  <c r="I64" i="6" s="1"/>
  <c r="I67" i="6" s="1"/>
  <c r="AD29" i="6" l="1"/>
  <c r="AD32" i="6" l="1"/>
  <c r="AD64" i="6" l="1"/>
  <c r="AD67" i="6" l="1"/>
  <c r="AM65" i="6" l="1"/>
  <c r="AH65" i="6"/>
  <c r="AL65" i="6"/>
  <c r="AL67" i="6" s="1"/>
  <c r="AK65" i="6"/>
  <c r="AG65" i="6"/>
  <c r="AG67" i="6" s="1"/>
  <c r="AH67" i="6" s="1"/>
  <c r="AF65" i="6"/>
  <c r="AF67" i="6" s="1"/>
  <c r="AK67" i="6"/>
  <c r="AK26" i="16"/>
  <c r="AK27" i="16" s="1"/>
  <c r="AK30" i="16" s="1"/>
  <c r="AJ27" i="16"/>
  <c r="AJ30" i="16" s="1"/>
  <c r="AM67" i="6" l="1"/>
  <c r="AO65" i="6" s="1"/>
  <c r="AO67" i="6" s="1"/>
</calcChain>
</file>

<file path=xl/sharedStrings.xml><?xml version="1.0" encoding="utf-8"?>
<sst xmlns="http://schemas.openxmlformats.org/spreadsheetml/2006/main" count="933" uniqueCount="478">
  <si>
    <t>EBITDA</t>
  </si>
  <si>
    <t>Wynagrodzenia i świadczenia na rzecz pracowników</t>
  </si>
  <si>
    <t>Podatek dochodowy</t>
  </si>
  <si>
    <t>marża EBITDA</t>
  </si>
  <si>
    <t>AKTYWA</t>
  </si>
  <si>
    <t>Zestawy odbiorcze</t>
  </si>
  <si>
    <t>Inne rzeczowe aktywa trwałe</t>
  </si>
  <si>
    <t>Nieruchomości inwestycyjne</t>
  </si>
  <si>
    <t>Aktywa z tytułu odroczonego podatku dochodowego</t>
  </si>
  <si>
    <t>Wartość firmy</t>
  </si>
  <si>
    <t>Aktywa trwałe razem</t>
  </si>
  <si>
    <t>Zapasy</t>
  </si>
  <si>
    <t>Środki pieniężne i ich ekwiwalenty</t>
  </si>
  <si>
    <t>Aktywa obrotowe razem</t>
  </si>
  <si>
    <t>PASYWA</t>
  </si>
  <si>
    <t>Kapitał zakładowy</t>
  </si>
  <si>
    <t>Kapitał zapasowy</t>
  </si>
  <si>
    <t>Kapitał rezerwowy</t>
  </si>
  <si>
    <t>Kapitał własny razem</t>
  </si>
  <si>
    <t>Zobowiązania z tytułu kredytów i pożyczek</t>
  </si>
  <si>
    <t>Zobowiązania z tytułu odroczonego podatku dochodowego</t>
  </si>
  <si>
    <t>Inne długoterminowe zobowiązania i rezerwy</t>
  </si>
  <si>
    <t>Zobowiązania długoterminowe razem</t>
  </si>
  <si>
    <t>Zobowiązania z tytułu podatku dochodowego</t>
  </si>
  <si>
    <t xml:space="preserve">Zobowiązania z tytułu dostaw i usług oraz pozostałe zobowiązania </t>
  </si>
  <si>
    <t>Zobowiązania krótkoterminowe razem</t>
  </si>
  <si>
    <t>Zobowiązania razem</t>
  </si>
  <si>
    <t>PASYWA RAZEM</t>
  </si>
  <si>
    <t>Korekty:</t>
  </si>
  <si>
    <t xml:space="preserve">Odsetki </t>
  </si>
  <si>
    <t>Zmiana stanu zapasów</t>
  </si>
  <si>
    <t>Zmiana stanu należności i innych aktywów</t>
  </si>
  <si>
    <t xml:space="preserve">Podatek dochodowy </t>
  </si>
  <si>
    <t>Inne korekty</t>
  </si>
  <si>
    <t>Podatek dochodowy zapłacony</t>
  </si>
  <si>
    <t>Odsetki otrzymane dotyczące działalności operacyjnej</t>
  </si>
  <si>
    <t>Środki pieniężne z działalności operacyjnej</t>
  </si>
  <si>
    <t>Nabycie wartości niematerialnych</t>
  </si>
  <si>
    <t>Nabycie rzeczowych aktywów trwałych</t>
  </si>
  <si>
    <t>Zmiana netto środków pieniężnych i ich ekwiwalentów</t>
  </si>
  <si>
    <t>Środki pieniężne i ich ekwiwalenty na początek okresu</t>
  </si>
  <si>
    <t>Zmiana stanu środków pieniężnych z tytułu różnic kursowych</t>
  </si>
  <si>
    <t>Spłata otrzymanych kredytów i pożyczek</t>
  </si>
  <si>
    <t>Środki pieniężne o ograniczonej możliwości dysponowania</t>
  </si>
  <si>
    <t>Kaucje otrzymane za wydany sprzęt</t>
  </si>
  <si>
    <t>Udzielone pożyczki</t>
  </si>
  <si>
    <t>Wpływy ze zbycia niefinansowych aktywów trwałych</t>
  </si>
  <si>
    <t>Spłata udzielonych pożyczek</t>
  </si>
  <si>
    <t>Zysk z działalności operacyjnej</t>
  </si>
  <si>
    <t>Płatności za licencje filmowe i sportowe</t>
  </si>
  <si>
    <t>Amortyzacja licencji filmowych i sportowych</t>
  </si>
  <si>
    <t>Wartość sprzedanych aktywów programowych</t>
  </si>
  <si>
    <t>Zmiana stanu produkcji własnej oraz zaliczek na produkcję własną</t>
  </si>
  <si>
    <t>Wycena instrumentów zabezpieczających</t>
  </si>
  <si>
    <t>Marki</t>
  </si>
  <si>
    <t>Długoterminowe aktywa programowe</t>
  </si>
  <si>
    <t>Krótkoterminowe aktywa programowe</t>
  </si>
  <si>
    <t>Kapitał z aktualizacji wyceny instrumentów zabezpieczających</t>
  </si>
  <si>
    <t>Różnice kursowe z przeliczenia jednostek działających za granicą</t>
  </si>
  <si>
    <t xml:space="preserve">Inne wartości niematerialne </t>
  </si>
  <si>
    <t>(Zyski) / straty z tytułu różnic kursowych, netto</t>
  </si>
  <si>
    <t>Pożyczki udzielone jednostkom powiązanym</t>
  </si>
  <si>
    <t>2)</t>
  </si>
  <si>
    <t>Środki pieniężne netto z działalności operacyjnej</t>
  </si>
  <si>
    <t>Środki pieniężne netto z działalności inwestycyjnej</t>
  </si>
  <si>
    <t>Środki pieniężne netto z działalności finansowej</t>
  </si>
  <si>
    <t>Nabycie udziałów w jednostkach zależnych pomniejszone o przejęte środki pieniężne</t>
  </si>
  <si>
    <t>Koszty operacyjne</t>
  </si>
  <si>
    <t>Przychody ze sprzedaży usług, produktów, towarów i materiałów</t>
  </si>
  <si>
    <t>Należności z tytułu podatku dochodowego</t>
  </si>
  <si>
    <t>Udziały niekontrolujące</t>
  </si>
  <si>
    <t>Kapitał przypadający na akcjonariuszy Jednostki Dominującej</t>
  </si>
  <si>
    <t>Amortyzacja, utrata wartości i likwidacja</t>
  </si>
  <si>
    <t>Otrzymane dywidendy</t>
  </si>
  <si>
    <t>Przychody detaliczne od klientów indywidualnych i biznesowych</t>
  </si>
  <si>
    <t>Przychody hurtowe</t>
  </si>
  <si>
    <t>Przychody ze sprzedaży sprzętu</t>
  </si>
  <si>
    <t>Pozostałe przychody ze sprzedaży</t>
  </si>
  <si>
    <t>Koszty kontentu</t>
  </si>
  <si>
    <t>Koszty dystrybucji, marketingu, obsługi i utrzymania klienta</t>
  </si>
  <si>
    <t>Koszty techniczne i rozliczeń międzyoperatorskich</t>
  </si>
  <si>
    <t>Koszt własny sprzedanego sprzętu</t>
  </si>
  <si>
    <t>Koszty windykacji, odpisów aktualizujących wartość należności i koszt spisanych należności</t>
  </si>
  <si>
    <t>Inne koszty</t>
  </si>
  <si>
    <t xml:space="preserve">Zobowiązania z tytułu obligacji </t>
  </si>
  <si>
    <t>Lokaty krótkoterminowe</t>
  </si>
  <si>
    <t>(Zysk)/strata ze sprzedaży rzeczowych aktywów trwałych i wartości niematerialnych</t>
  </si>
  <si>
    <t xml:space="preserve">Lokaty krótkoterminowe </t>
  </si>
  <si>
    <t>Zapłata za usługi doradcze związane z emisją akcji</t>
  </si>
  <si>
    <t>Zysk/(strata) z działalności operacyjnej</t>
  </si>
  <si>
    <t>Płatności z tytułu koncesji</t>
  </si>
  <si>
    <t>w tym aktywa z tytułu instrumentów pochodnych</t>
  </si>
  <si>
    <t>w tym zobowiązania z tytułu instrumentów pochodnych</t>
  </si>
  <si>
    <t>Środki pieniężne i ich ekwiwalenty na koniec okresu</t>
  </si>
  <si>
    <t>Zaciągnięcie kredytów</t>
  </si>
  <si>
    <t>GRUPA KAPITAŁOWA CYFROWY POLSAT S.A.</t>
  </si>
  <si>
    <t>SKONSOLIDOWANY RACHUNEK ZYSKÓW I STRAT</t>
  </si>
  <si>
    <t>Q1</t>
  </si>
  <si>
    <t>Q2</t>
  </si>
  <si>
    <t>Q3</t>
  </si>
  <si>
    <t>Q4</t>
  </si>
  <si>
    <t>SEGMENT USŁUG ŚWIADCZONYCH KLIENTOM INDYWIDUALNYM I BIZNESOWYM</t>
  </si>
  <si>
    <t>SEGMENT NADAWANIA I PRODUKCJI TELEWIZYJNEJ</t>
  </si>
  <si>
    <t>WYŁĄCZENIA I KOREKTY KONSOLIDACYJNE</t>
  </si>
  <si>
    <t>RAZEM</t>
  </si>
  <si>
    <t>Sprzedaż do stron trzecich</t>
  </si>
  <si>
    <t>Sprzedaż pomiędzy segmentami</t>
  </si>
  <si>
    <t>Przychody ze sprzedaży</t>
  </si>
  <si>
    <t xml:space="preserve">Nabycie rzeczowych aktywów trwałych, zestawów odbiorczych i innych wartości niematerialnych </t>
  </si>
  <si>
    <t>Aktywa segmentu, w tym:</t>
  </si>
  <si>
    <t>SKONSOLIDOWANY BILANS</t>
  </si>
  <si>
    <t xml:space="preserve">31 marca </t>
  </si>
  <si>
    <t xml:space="preserve">30 czerwca </t>
  </si>
  <si>
    <t xml:space="preserve">30 września </t>
  </si>
  <si>
    <t xml:space="preserve">31 grudnia </t>
  </si>
  <si>
    <t>AKTYWA RAZEM</t>
  </si>
  <si>
    <t>3 miesiące 
do 31 marca</t>
  </si>
  <si>
    <t>6 miesięcy 
do 30 czerwca</t>
  </si>
  <si>
    <t xml:space="preserve">9 miesięcy 
do 30 września </t>
  </si>
  <si>
    <t xml:space="preserve">12 miesięcy 
do 31 grudnia </t>
  </si>
  <si>
    <t>Zysk  netto za okres</t>
  </si>
  <si>
    <t>SKONSOLIDOWANY RACHUNEK PRZEPŁYWÓW PIENIĘŻNYCH</t>
  </si>
  <si>
    <r>
      <t>SEGMENT USŁUG ŚWIADCZONYCH KLIENTOM                                                                                                               INDYWIDUALNYM I BIZNESOWYM</t>
    </r>
    <r>
      <rPr>
        <b/>
        <vertAlign val="superscript"/>
        <sz val="9"/>
        <color rgb="FF000000"/>
        <rFont val="Calibri"/>
        <family val="2"/>
        <charset val="238"/>
        <scheme val="minor"/>
      </rPr>
      <t>1)</t>
    </r>
  </si>
  <si>
    <t>1Q</t>
  </si>
  <si>
    <t>2Q</t>
  </si>
  <si>
    <t>3Q</t>
  </si>
  <si>
    <t>4Q</t>
  </si>
  <si>
    <r>
      <t>Łączna liczba RGU</t>
    </r>
    <r>
      <rPr>
        <b/>
        <vertAlign val="superscript"/>
        <sz val="9"/>
        <rFont val="Calibri"/>
        <family val="2"/>
        <charset val="238"/>
        <scheme val="minor"/>
      </rPr>
      <t>2)</t>
    </r>
    <r>
      <rPr>
        <b/>
        <sz val="9"/>
        <rFont val="Calibri"/>
        <family val="2"/>
        <charset val="238"/>
        <scheme val="minor"/>
      </rPr>
      <t xml:space="preserve"> (kontraktowe+przedpłacone)</t>
    </r>
  </si>
  <si>
    <t>n/d</t>
  </si>
  <si>
    <t>USŁUGI KONTRAKTOWE</t>
  </si>
  <si>
    <t>Łączna liczba RGU na koniec okresu, w tym:</t>
  </si>
  <si>
    <t>Płatna telewizja, w tym:</t>
  </si>
  <si>
    <t>Multiroom</t>
  </si>
  <si>
    <t>Telefonia komórkowa</t>
  </si>
  <si>
    <t>Internet</t>
  </si>
  <si>
    <t>Liczba klientów</t>
  </si>
  <si>
    <r>
      <t>Churn na klienta</t>
    </r>
    <r>
      <rPr>
        <vertAlign val="superscript"/>
        <sz val="9"/>
        <color rgb="FF000000"/>
        <rFont val="Calibri"/>
        <family val="2"/>
        <charset val="238"/>
        <scheme val="minor"/>
      </rPr>
      <t>4)</t>
    </r>
  </si>
  <si>
    <t xml:space="preserve">Wskaźnik nasycenia RGU na jednego klienta </t>
  </si>
  <si>
    <t>Średnia liczba RGU, w tym:</t>
  </si>
  <si>
    <t>Średnia liczba klientów</t>
  </si>
  <si>
    <t>USŁUGI PRZEDPŁACONE</t>
  </si>
  <si>
    <t xml:space="preserve">Płatna telewizja </t>
  </si>
  <si>
    <t xml:space="preserve">Internet </t>
  </si>
  <si>
    <r>
      <t>ARPU na RGU</t>
    </r>
    <r>
      <rPr>
        <vertAlign val="superscript"/>
        <sz val="9"/>
        <color rgb="FF000000"/>
        <rFont val="Calibri"/>
        <family val="2"/>
        <charset val="238"/>
        <scheme val="minor"/>
      </rPr>
      <t>5)</t>
    </r>
    <r>
      <rPr>
        <sz val="9"/>
        <color rgb="FF000000"/>
        <rFont val="Calibri"/>
        <family val="2"/>
        <charset val="238"/>
        <scheme val="minor"/>
      </rPr>
      <t xml:space="preserve"> [PLN]</t>
    </r>
  </si>
  <si>
    <t>1) Klient - osoba fizyczna, prawna lub jednostka organizacyjna nieposiadającą osobowości prawnej, posiadająca co najmniej jedną, aktywną usługę świadczoną w modelu kontraktowym.</t>
  </si>
  <si>
    <t>2) RGU (revenue generating unit) - pojedyncza, aktywna usługa płatnej telewizji, dostępu do Internetu lub telefonii komórkowej, świadczona w modelu kontraktowym lub przedpłaconym.</t>
  </si>
  <si>
    <t xml:space="preserve">3) ARPU na klienta - Średni miesięczny przychód od Klienta wygenerowany w danym okresie rozliczeniowy (uwzględnia przychody z interconnect)
</t>
  </si>
  <si>
    <t>5) ARPU na RGU - średni miesięczny przychód od RGU pre-paid wygenerowany w danym okresie rozliczeniowym (uwzględnia przychody z interconnect)</t>
  </si>
  <si>
    <t>Zysk netto przypadający na akcjonariuszy Jednostki Dominującej</t>
  </si>
  <si>
    <t>Podstawowy i rozwodniony zysk na jedną akcję w złotych</t>
  </si>
  <si>
    <t xml:space="preserve">GRUPA KAPITAŁOWA CYFROWY POLSAT S.A. </t>
  </si>
  <si>
    <t>Opcja wcześniejszej spłaty obligacji</t>
  </si>
  <si>
    <t>Wpływy z tytułu realizacji instrumentów pochodnych - kapitał</t>
  </si>
  <si>
    <t>Udział w zysku jednostki współkontrolowanej wycenianej metodą praw własności</t>
  </si>
  <si>
    <t>EBITDA (niebadana)</t>
  </si>
  <si>
    <t>Relacje z klientami</t>
  </si>
  <si>
    <t>Długoterminowe prowizje dla dystrybutorów rozliczane w czasie</t>
  </si>
  <si>
    <t>Należności z tytułu dostaw i usług oraz pozostałe należności</t>
  </si>
  <si>
    <t>Krótkoterminowe prowizje dla dystrybutorów rozliczane w czasie</t>
  </si>
  <si>
    <t>Pozostałe aktywa obrotowe</t>
  </si>
  <si>
    <t>Nadwyżka wartości emisyjnej akcji powyżej ich wartości nominalnej</t>
  </si>
  <si>
    <t>Pozostałe kapitały</t>
  </si>
  <si>
    <t>Zobowiązania z tytułu koncesji UMTS</t>
  </si>
  <si>
    <t>Przychody przyszłych okresów</t>
  </si>
  <si>
    <r>
      <t xml:space="preserve">31 grudnia przekształcony </t>
    </r>
    <r>
      <rPr>
        <b/>
        <vertAlign val="superscript"/>
        <sz val="10"/>
        <color indexed="8"/>
        <rFont val="Calibri"/>
        <family val="2"/>
        <charset val="238"/>
      </rPr>
      <t>1)</t>
    </r>
  </si>
  <si>
    <t>Wpływy ze zbycia udziałów</t>
  </si>
  <si>
    <t>Emisja obligacji/(Wykup obligacji)</t>
  </si>
  <si>
    <t>Nabycie obligacji</t>
  </si>
  <si>
    <t>Zysk brutto za okres</t>
  </si>
  <si>
    <t>Zysk netto za okres</t>
  </si>
  <si>
    <r>
      <t xml:space="preserve">Q1 </t>
    </r>
    <r>
      <rPr>
        <b/>
        <vertAlign val="superscript"/>
        <sz val="10"/>
        <color indexed="8"/>
        <rFont val="Calibri"/>
        <family val="2"/>
        <charset val="238"/>
      </rPr>
      <t>1)</t>
    </r>
  </si>
  <si>
    <r>
      <t xml:space="preserve">2016 </t>
    </r>
    <r>
      <rPr>
        <b/>
        <vertAlign val="superscript"/>
        <sz val="10"/>
        <color indexed="8"/>
        <rFont val="Calibri"/>
        <family val="2"/>
        <charset val="238"/>
      </rPr>
      <t>1)</t>
    </r>
  </si>
  <si>
    <r>
      <t>Zyski i straty z działalności inwestycyjnej, netto</t>
    </r>
    <r>
      <rPr>
        <vertAlign val="superscript"/>
        <sz val="10"/>
        <color indexed="8"/>
        <rFont val="Calibri"/>
        <family val="2"/>
        <charset val="238"/>
      </rPr>
      <t xml:space="preserve"> </t>
    </r>
  </si>
  <si>
    <t>Pozostałe przychody / (koszty) operacyjne, netto</t>
  </si>
  <si>
    <t>Zysk/ (strata) netto przypadający na akcjonariuszy niekontrolujących</t>
  </si>
  <si>
    <t>(Zysk) / strata na instrumentach pochodnych, netto</t>
  </si>
  <si>
    <t>Jednorazowe spisanie przeszacowania wartości obligacji na moment nabycia do wartości godziwej oraz koszt premii za wcześniejszy wykup obligacji</t>
  </si>
  <si>
    <t>Zyski zatrzymane</t>
  </si>
  <si>
    <t>4)</t>
  </si>
  <si>
    <t>Wypłata dywidendy</t>
  </si>
  <si>
    <t>4) Pozycja została połączona z "Pozostałe wpływy/(wypływy)".</t>
  </si>
  <si>
    <t>Pozostałe wpływy/(wypływy)</t>
  </si>
  <si>
    <t>w tym udziały w jednostkach stowarzyszonych wycenianych metodą praw własności</t>
  </si>
  <si>
    <t>Udział w zysku współnego przedsięwzięcia wycenianego metodą praw własności</t>
  </si>
  <si>
    <t>Wykup obligacji wyemitowanych przez Midas</t>
  </si>
  <si>
    <t>Wpływy z tytułu realizacji instrumentów pochodnych</t>
  </si>
  <si>
    <t>Koszt premii za wcześniejszy wykup obligacji</t>
  </si>
  <si>
    <t>Prowizja za wcześniejszy wykup obligacji</t>
  </si>
  <si>
    <t>Aktywa z tytułu kontraktów</t>
  </si>
  <si>
    <t>Zobowiązania z tytułu kontraktów</t>
  </si>
  <si>
    <t>1) Wyniki Grupy Aero2 konsolidowane od 29 lutego 2016.</t>
  </si>
  <si>
    <t>1) Przekszatłcenie w wyniku finalizacji procesu alokacji ceny nabycia Metelem.</t>
  </si>
  <si>
    <t>2) Od 30 czerwca 2015 roku pozycja "Kaucje otrzymane za wydane sprzęt" została ujęta w pozycji "Zobowiązania z tytułu dostaw i usług oraz pozostałe zobowiązania".</t>
  </si>
  <si>
    <t>3) Pozycja obejmuje spłatę zobowiązań z tytułu leasingu finansowego.</t>
  </si>
  <si>
    <t>2) Pozycja została połączona z pozycją "Inne korekty".</t>
  </si>
  <si>
    <t>1) Obejmuje wpływ instrumentów IRS/CIRS/forward, premie za wcześniejszą spłatę obligacji oraz zapłatę za koszty związane z pozyskaniem finansowania.</t>
  </si>
  <si>
    <t>Zmiana stanu aktywów z tytułu kontraktów</t>
  </si>
  <si>
    <t>Zmiana stanu zobowiązania z tytułu kontraktów</t>
  </si>
  <si>
    <t>Nabycie akcji/udziałów w jednostkach stowarzyszonych i innych jednostkach</t>
  </si>
  <si>
    <r>
      <t xml:space="preserve">2) Dane zgodne ze standardem MSR 18 - nie uwwzględniają wpływu standardów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Przychody z umów z klientami</t>
    </r>
    <r>
      <rPr>
        <sz val="10"/>
        <color indexed="8"/>
        <rFont val="Calibri"/>
        <family val="2"/>
        <charset val="238"/>
      </rPr>
      <t xml:space="preserve">, obowiązujących od 1 stycznia 2018 roku. </t>
    </r>
  </si>
  <si>
    <r>
      <t xml:space="preserve">3) Dane zgodne ze standardami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 xml:space="preserve">Przychody z umów z klientami. </t>
    </r>
    <r>
      <rPr>
        <sz val="10"/>
        <color indexed="8"/>
        <rFont val="Calibri"/>
        <family val="2"/>
        <charset val="238"/>
      </rPr>
      <t xml:space="preserve">Dane nie sa porównywalne z danymi za okresy wcześniejsze. </t>
    </r>
  </si>
  <si>
    <r>
      <t xml:space="preserve">2017 </t>
    </r>
    <r>
      <rPr>
        <i/>
        <sz val="10"/>
        <color theme="1"/>
        <rFont val="Calibri"/>
        <family val="2"/>
        <charset val="238"/>
        <scheme val="minor"/>
      </rPr>
      <t>(dane według MSR 18)</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</si>
  <si>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MSSF 15 [PLN]</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</si>
  <si>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MSR 18 [PLN]</t>
    </r>
  </si>
  <si>
    <t>Wpływy/(Wypływy) z tytułu inwestycji w fundusze</t>
  </si>
  <si>
    <r>
      <t>2Q</t>
    </r>
    <r>
      <rPr>
        <b/>
        <vertAlign val="superscript"/>
        <sz val="9"/>
        <color indexed="8"/>
        <rFont val="Calibri"/>
        <family val="2"/>
        <charset val="238"/>
        <scheme val="minor"/>
      </rPr>
      <t>6</t>
    </r>
  </si>
  <si>
    <t>Udział w zysku/(stracie) jednostek stowarzyszonych wycenianych metodą praw własności</t>
  </si>
  <si>
    <t>.</t>
  </si>
  <si>
    <t>Prawa do użytkowania</t>
  </si>
  <si>
    <t>4) Dane bez ujęcia efektu MSSF 16</t>
  </si>
  <si>
    <r>
      <t>2019</t>
    </r>
    <r>
      <rPr>
        <b/>
        <sz val="11"/>
        <rFont val="Calibri"/>
        <family val="2"/>
        <charset val="238"/>
      </rPr>
      <t xml:space="preserve"> (dane wg MSSF 15 i MSSF 16)</t>
    </r>
  </si>
  <si>
    <r>
      <t>Spłata odsetek od leasingu</t>
    </r>
    <r>
      <rPr>
        <vertAlign val="superscript"/>
        <sz val="10"/>
        <color indexed="8"/>
        <rFont val="Calibri"/>
        <family val="2"/>
        <charset val="238"/>
      </rPr>
      <t xml:space="preserve"> 5)</t>
    </r>
  </si>
  <si>
    <r>
      <t>Spłata zobowiązań z tytułu leasingu</t>
    </r>
    <r>
      <rPr>
        <vertAlign val="superscript"/>
        <sz val="10"/>
        <color indexed="8"/>
        <rFont val="Calibri"/>
        <family val="2"/>
        <charset val="238"/>
      </rPr>
      <t xml:space="preserve"> 6)</t>
    </r>
  </si>
  <si>
    <t xml:space="preserve">Zobowiązania z tytułu leasingu </t>
  </si>
  <si>
    <t>Zwiększenie netto wartości zestawów odbiorczych</t>
  </si>
  <si>
    <t>Wykup obligacji wraz z odsetkami</t>
  </si>
  <si>
    <t>Wypływy z tytułu podwyższenia kapitału w jednostce stowarzyszonej</t>
  </si>
  <si>
    <t>Zobowiązania z tytułu leasingu</t>
  </si>
  <si>
    <t>Zmiana stanu zobowiązań i rezerw</t>
  </si>
  <si>
    <t>Udział w (zysku) / stracie jednostek stowarzyszonych wycenianych metodą praw własności</t>
  </si>
  <si>
    <t xml:space="preserve">Koszty finansowe, netto </t>
  </si>
  <si>
    <t>7)</t>
  </si>
  <si>
    <t>7) W drugim kwartale 2019 roku Spółka dokonała przedterminowego wykupu i umorzenia obligacji serii A oraz przeprowadziła emisję obligacji serii B. Wpływ i wypływ środków pieniężnych z tego tytułu uległ pokryciu i wyniósł 893 mln zł.</t>
  </si>
  <si>
    <r>
      <t xml:space="preserve">Spłata odsetek od kredytów, pożyczek, obligacji i zapłacone prowizje </t>
    </r>
    <r>
      <rPr>
        <vertAlign val="superscript"/>
        <sz val="10"/>
        <rFont val="Calibri"/>
        <family val="2"/>
        <charset val="238"/>
      </rPr>
      <t>1)</t>
    </r>
  </si>
  <si>
    <t>YTD2019</t>
  </si>
  <si>
    <t>6) Dane nie obejmują wyników operacyjnych Grupy Netia,  nad którą Grupa Cyfrowy Polsat zaczęła sprawować kontrolę z dniem 22 maja 2018 roku. Z uwagi na fakt że Netia S.A. jest spółką publiczną, notowaną na Giełdzie Papierów Wartościowych w Warszawie, jej szczegółowe wyniki operacyjne i finansowe dostępne są na bieżąco pod adresem: inwestor.netia.pl.</t>
  </si>
  <si>
    <r>
      <t>3Q</t>
    </r>
    <r>
      <rPr>
        <b/>
        <vertAlign val="superscript"/>
        <sz val="9"/>
        <color indexed="8"/>
        <rFont val="Calibri"/>
        <family val="2"/>
        <charset val="238"/>
        <scheme val="minor"/>
      </rPr>
      <t>6</t>
    </r>
  </si>
  <si>
    <r>
      <t>4Q</t>
    </r>
    <r>
      <rPr>
        <b/>
        <vertAlign val="superscript"/>
        <sz val="9"/>
        <color indexed="8"/>
        <rFont val="Calibri"/>
        <family val="2"/>
        <charset val="238"/>
        <scheme val="minor"/>
      </rPr>
      <t>6</t>
    </r>
  </si>
  <si>
    <r>
      <t>1Q</t>
    </r>
    <r>
      <rPr>
        <b/>
        <vertAlign val="superscript"/>
        <sz val="9"/>
        <color indexed="8"/>
        <rFont val="Calibri"/>
        <family val="2"/>
        <charset val="238"/>
        <scheme val="minor"/>
      </rPr>
      <t>6</t>
    </r>
  </si>
  <si>
    <r>
      <t xml:space="preserve">2018 </t>
    </r>
    <r>
      <rPr>
        <b/>
        <vertAlign val="superscript"/>
        <sz val="9"/>
        <color theme="1"/>
        <rFont val="Calibri"/>
        <family val="2"/>
        <charset val="238"/>
        <scheme val="minor"/>
      </rPr>
      <t>6</t>
    </r>
  </si>
  <si>
    <t>1) Pozycja ta obejmuje także nabycie zestawów odbiorczych w leasingu operacyjnym</t>
  </si>
  <si>
    <r>
      <t xml:space="preserve">Długoterminowe należności z tytułu dostaw i usług </t>
    </r>
    <r>
      <rPr>
        <vertAlign val="superscript"/>
        <sz val="10"/>
        <color indexed="8"/>
        <rFont val="Calibri"/>
        <family val="2"/>
        <charset val="238"/>
      </rPr>
      <t>3)</t>
    </r>
  </si>
  <si>
    <r>
      <t xml:space="preserve">Inne aktywa długoterminowe </t>
    </r>
    <r>
      <rPr>
        <vertAlign val="superscript"/>
        <sz val="10"/>
        <color indexed="8"/>
        <rFont val="Calibri"/>
        <family val="2"/>
        <charset val="238"/>
      </rPr>
      <t>3)</t>
    </r>
  </si>
  <si>
    <r>
      <t>Inne wypływy</t>
    </r>
    <r>
      <rPr>
        <vertAlign val="superscript"/>
        <sz val="10"/>
        <color indexed="8"/>
        <rFont val="Calibri"/>
        <family val="2"/>
        <charset val="238"/>
      </rPr>
      <t>3)</t>
    </r>
  </si>
  <si>
    <t>Inwestycje we wspólne przedsięwzięcie i udziały w jednostkach stowarzyszonych</t>
  </si>
  <si>
    <t>YTD2020</t>
  </si>
  <si>
    <t>5) Do 31 marca 2019 roku pozycja ta była wykazywana w linii "Spłata odsetek od kredytów, pożyczek, obligacji, leasingu finansowego i zapłacone prowizje".</t>
  </si>
  <si>
    <t>6) Do 31 marca 2019 roku pozycja ta była wykazywana w linii "Inne wydatki".</t>
  </si>
  <si>
    <t>Na dzień 31 marca (niebadany)</t>
  </si>
  <si>
    <t>2) Pozycja ta obejmuje także aktywa trwałe zlokalizowane poza granicami Polski w wysokości 10,8 mln zł.</t>
  </si>
  <si>
    <t>CONSOLIDATED INCOME STATEMENT</t>
  </si>
  <si>
    <t>Revenue</t>
  </si>
  <si>
    <t>Retail revenue</t>
  </si>
  <si>
    <t>Wholesale revenue</t>
  </si>
  <si>
    <t xml:space="preserve">Sale of equipment </t>
  </si>
  <si>
    <t>Other revenue</t>
  </si>
  <si>
    <t>Operating costs</t>
  </si>
  <si>
    <t>Technical costs and cost of settlements with telecommunication operators</t>
  </si>
  <si>
    <t>Depreciation, amortization, impairment and liquidation</t>
  </si>
  <si>
    <t>Cost of equipment sold</t>
  </si>
  <si>
    <t>Content costs</t>
  </si>
  <si>
    <t>Distribution, marketing, customer relation management and retention costs</t>
  </si>
  <si>
    <t>Salaries and employee-related costs</t>
  </si>
  <si>
    <t>Cost of debt collection services, bad debt allowance and receivables written off</t>
  </si>
  <si>
    <t>Other costs</t>
  </si>
  <si>
    <t>Profit from operating activities</t>
  </si>
  <si>
    <t>Gain/(loss) on investment activities, net</t>
  </si>
  <si>
    <t>Finance costs, net</t>
  </si>
  <si>
    <t>Share of the profit of jointly controlled entity accounted for using the equity method</t>
  </si>
  <si>
    <t>Share of the profit/(loss) of associates accounted for using the equity method</t>
  </si>
  <si>
    <t>Gross profit for the period</t>
  </si>
  <si>
    <t>Income tax</t>
  </si>
  <si>
    <t>Net profit for the period</t>
  </si>
  <si>
    <t>Net profit attributable to equity holders of the Parent</t>
  </si>
  <si>
    <t>Net profit/(loss) attributable to non-controlling interest</t>
  </si>
  <si>
    <t>Basic and diluted earnings per share (in PLN)</t>
  </si>
  <si>
    <t>EBITDA margin</t>
  </si>
  <si>
    <t>mPLN</t>
  </si>
  <si>
    <r>
      <t xml:space="preserve">2018 </t>
    </r>
    <r>
      <rPr>
        <b/>
        <vertAlign val="superscript"/>
        <sz val="11"/>
        <color theme="1"/>
        <rFont val="Calibri"/>
        <family val="2"/>
        <charset val="238"/>
      </rPr>
      <t>2)</t>
    </r>
    <r>
      <rPr>
        <b/>
        <sz val="11"/>
        <color theme="1"/>
        <rFont val="Calibri"/>
        <family val="2"/>
        <charset val="238"/>
      </rPr>
      <t xml:space="preserve">
(dane wg MSR 18, bez konsolidacji Grupy Netia)  </t>
    </r>
  </si>
  <si>
    <t>1) Results of Midas Group consolidated from February 29, 2016</t>
  </si>
  <si>
    <r>
      <t xml:space="preserve">2) Data presented in accordance with IAS 18 standard - they do not include the impact of the standards IFRS 9 </t>
    </r>
    <r>
      <rPr>
        <i/>
        <sz val="10"/>
        <color indexed="8"/>
        <rFont val="Calibri"/>
        <family val="2"/>
        <charset val="238"/>
      </rPr>
      <t>Financial Instruments</t>
    </r>
    <r>
      <rPr>
        <sz val="10"/>
        <color indexed="8"/>
        <rFont val="Calibri"/>
        <family val="2"/>
        <charset val="238"/>
      </rPr>
      <t xml:space="preserve"> and IFRS 15 </t>
    </r>
    <r>
      <rPr>
        <i/>
        <sz val="10"/>
        <color indexed="8"/>
        <rFont val="Calibri"/>
        <family val="2"/>
        <charset val="238"/>
      </rPr>
      <t>Revenue from Contracts with Customers</t>
    </r>
    <r>
      <rPr>
        <sz val="10"/>
        <color indexed="8"/>
        <rFont val="Calibri"/>
        <family val="2"/>
        <charset val="238"/>
      </rPr>
      <t xml:space="preserve">, applicable from January 1, 2018.  </t>
    </r>
  </si>
  <si>
    <t xml:space="preserve">3) Data presented in accordance with standards IFRS 9 Financial Instruments and IFRS 15 Revenue from Contracts with Customers. Data is not comparable to data for previous periods. </t>
  </si>
  <si>
    <t>4) Data exckuding the impact of IFRS 16</t>
  </si>
  <si>
    <r>
      <t xml:space="preserve">2018 </t>
    </r>
    <r>
      <rPr>
        <b/>
        <vertAlign val="superscript"/>
        <sz val="11"/>
        <color theme="1"/>
        <rFont val="Calibri"/>
        <family val="2"/>
        <charset val="238"/>
      </rPr>
      <t>3)</t>
    </r>
    <r>
      <rPr>
        <b/>
        <sz val="11"/>
        <color theme="1"/>
        <rFont val="Calibri"/>
        <family val="2"/>
        <charset val="238"/>
      </rPr>
      <t xml:space="preserve"> (IFRS 15 and IAS 17 basis,
Netia Group consolidated as of May 22, 2018)</t>
    </r>
  </si>
  <si>
    <r>
      <t xml:space="preserve">2018 </t>
    </r>
    <r>
      <rPr>
        <b/>
        <vertAlign val="superscript"/>
        <sz val="11"/>
        <color theme="1"/>
        <rFont val="Calibri"/>
        <family val="2"/>
        <charset val="238"/>
      </rPr>
      <t>3)</t>
    </r>
    <r>
      <rPr>
        <b/>
        <sz val="11"/>
        <color theme="1"/>
        <rFont val="Calibri"/>
        <family val="2"/>
        <charset val="238"/>
      </rPr>
      <t xml:space="preserve"> (dane wg MSSF 15 i MSR 17,
Grupa Netia konsolidowana od 22 maja 2018 r.)</t>
    </r>
  </si>
  <si>
    <r>
      <t xml:space="preserve">2018 </t>
    </r>
    <r>
      <rPr>
        <b/>
        <vertAlign val="superscript"/>
        <sz val="11"/>
        <color theme="1"/>
        <rFont val="Calibri"/>
        <family val="2"/>
        <charset val="238"/>
      </rPr>
      <t>2)</t>
    </r>
    <r>
      <rPr>
        <b/>
        <sz val="11"/>
        <color theme="1"/>
        <rFont val="Calibri"/>
        <family val="2"/>
        <charset val="238"/>
      </rPr>
      <t xml:space="preserve">
(IAS 18 basis, excl. consolidation of Netia Group)</t>
    </r>
  </si>
  <si>
    <r>
      <t xml:space="preserve">2019 </t>
    </r>
    <r>
      <rPr>
        <b/>
        <vertAlign val="superscript"/>
        <sz val="11"/>
        <color theme="1"/>
        <rFont val="Calibri"/>
        <family val="2"/>
        <charset val="238"/>
      </rPr>
      <t>4)</t>
    </r>
    <r>
      <rPr>
        <b/>
        <sz val="11"/>
        <color theme="1"/>
        <rFont val="Calibri"/>
        <family val="2"/>
        <charset val="238"/>
      </rPr>
      <t xml:space="preserve"> (dane według MSSF 15 i MSR 17)</t>
    </r>
  </si>
  <si>
    <r>
      <t>2019</t>
    </r>
    <r>
      <rPr>
        <b/>
        <vertAlign val="superscript"/>
        <sz val="11"/>
        <color theme="1"/>
        <rFont val="Calibri"/>
        <family val="2"/>
        <charset val="238"/>
      </rPr>
      <t>4)</t>
    </r>
    <r>
      <rPr>
        <b/>
        <sz val="11"/>
        <color theme="1"/>
        <rFont val="Calibri"/>
        <family val="2"/>
        <charset val="238"/>
      </rPr>
      <t xml:space="preserve"> (IFRS 15 and IAS 17 basis)</t>
    </r>
  </si>
  <si>
    <t>2019 (IFRS 15 and IFRS 16 basis)</t>
  </si>
  <si>
    <t>2020 (dane wg MSSF 16)</t>
  </si>
  <si>
    <t>2020 (IFRS 16 basis)</t>
  </si>
  <si>
    <t>SEGMENT OF SERVICES TO INDIVIDUAL AND BUSINESS CUSTOMERS</t>
  </si>
  <si>
    <t>BROADCASTING AND TELEVISION PRODUCTION SEGMENT</t>
  </si>
  <si>
    <t>CONSOLIDATION ADJUSTMENTS</t>
  </si>
  <si>
    <t>TOTAL</t>
  </si>
  <si>
    <t>CYFROWY POLSAT S.A. CAPITAL GROUP</t>
  </si>
  <si>
    <t xml:space="preserve">Revenues from sales to third parties </t>
  </si>
  <si>
    <t>Inter-segment revenues</t>
  </si>
  <si>
    <t>Revenues</t>
  </si>
  <si>
    <t>EBITDA (unaudited)</t>
  </si>
  <si>
    <t xml:space="preserve">Profit from operating activities </t>
  </si>
  <si>
    <t xml:space="preserve">Acquisition of property, plant and equipment, reception equipment and other intangible assets </t>
  </si>
  <si>
    <t>Assets, including:</t>
  </si>
  <si>
    <t>Investments in joint venture and shares in associates</t>
  </si>
  <si>
    <t>1) This item also includes the acquisition of reception equipment for operating lease purposes.</t>
  </si>
  <si>
    <t>Balance as at March 31 (unaudited)</t>
  </si>
  <si>
    <t>∆</t>
  </si>
  <si>
    <t>2) Includes non-current assets located outside of Poland in the amount of PLN 10.8 million.</t>
  </si>
  <si>
    <t>3) Pozycja ta obejmuje także aktywa trwałe zlokalizowane poza granicami Polski w wysokości 11,8 mln zł.</t>
  </si>
  <si>
    <t>3) Includes non-current assets located outside of Poland in the amount of PLN 11.8 million.</t>
  </si>
  <si>
    <t>CONSOLIDATED BALANCE SHEET</t>
  </si>
  <si>
    <t>ASSETS</t>
  </si>
  <si>
    <t>Reception equipment</t>
  </si>
  <si>
    <t>Other property, plant and equipment</t>
  </si>
  <si>
    <t xml:space="preserve">Goodwill </t>
  </si>
  <si>
    <t>Customer relationships</t>
  </si>
  <si>
    <t>Brands</t>
  </si>
  <si>
    <t xml:space="preserve">Other intangible assets </t>
  </si>
  <si>
    <t>Right-of-use assets</t>
  </si>
  <si>
    <t>Non-current programming assets</t>
  </si>
  <si>
    <t>Investment property</t>
  </si>
  <si>
    <t>Non-current deferred distribution fees</t>
  </si>
  <si>
    <t>Early redemption option</t>
  </si>
  <si>
    <r>
      <t xml:space="preserve">Non-current trade receivables </t>
    </r>
    <r>
      <rPr>
        <vertAlign val="superscript"/>
        <sz val="10"/>
        <color theme="1"/>
        <rFont val="Calibri"/>
        <family val="2"/>
        <charset val="238"/>
        <scheme val="minor"/>
      </rPr>
      <t>3)</t>
    </r>
  </si>
  <si>
    <r>
      <t xml:space="preserve">Other non-current assets </t>
    </r>
    <r>
      <rPr>
        <vertAlign val="superscript"/>
        <sz val="10"/>
        <color theme="1"/>
        <rFont val="Calibri"/>
        <family val="2"/>
        <charset val="238"/>
        <scheme val="minor"/>
      </rPr>
      <t>3)</t>
    </r>
    <r>
      <rPr>
        <sz val="10"/>
        <color theme="1"/>
        <rFont val="Calibri"/>
        <family val="2"/>
        <charset val="238"/>
        <scheme val="minor"/>
      </rPr>
      <t>, includes:</t>
    </r>
  </si>
  <si>
    <t>shares in associates accounted for using the equity method</t>
  </si>
  <si>
    <t>derivative instruments assets</t>
  </si>
  <si>
    <t>Deferred tax assets</t>
  </si>
  <si>
    <t>Total non-current assets</t>
  </si>
  <si>
    <t>Current programming assets</t>
  </si>
  <si>
    <t>Contract assets</t>
  </si>
  <si>
    <t>Inventories</t>
  </si>
  <si>
    <t>Loans granted to related parties</t>
  </si>
  <si>
    <t>Trade and other receivables</t>
  </si>
  <si>
    <t>Income tax receivable</t>
  </si>
  <si>
    <t>Current deferred distribution fees</t>
  </si>
  <si>
    <t>Other current assets</t>
  </si>
  <si>
    <t>includes derivative instruments assets</t>
  </si>
  <si>
    <t>Short-term deposits</t>
  </si>
  <si>
    <t>Cash and cash equivalents</t>
  </si>
  <si>
    <t>Restricted cash</t>
  </si>
  <si>
    <t>Total current assets</t>
  </si>
  <si>
    <t>TOTAL ASSETS</t>
  </si>
  <si>
    <t>EQUITY AND LIABILITIES</t>
  </si>
  <si>
    <t>Share capital</t>
  </si>
  <si>
    <t>Reserve capital</t>
  </si>
  <si>
    <t>Other reserves</t>
  </si>
  <si>
    <t>Share premium</t>
  </si>
  <si>
    <t>Hedge valuation reserve</t>
  </si>
  <si>
    <t>Currency translation adjustmnet</t>
  </si>
  <si>
    <t>Retained earnings</t>
  </si>
  <si>
    <t>Equity attributable to equity holders of the Parent</t>
  </si>
  <si>
    <t>Non-controlling interests</t>
  </si>
  <si>
    <t>Total equity</t>
  </si>
  <si>
    <t>Loans and borrowings</t>
  </si>
  <si>
    <t>Issued bonds</t>
  </si>
  <si>
    <t>Lease liabilities</t>
  </si>
  <si>
    <t>UMTS license liabilities</t>
  </si>
  <si>
    <t>Deferred tax liabilities</t>
  </si>
  <si>
    <t>Deferred income</t>
  </si>
  <si>
    <t>Other non-current liabilities and provisions</t>
  </si>
  <si>
    <t>includes derivative instruments liabilities</t>
  </si>
  <si>
    <t xml:space="preserve">Total non-current liabilities </t>
  </si>
  <si>
    <t>Contract liabilities</t>
  </si>
  <si>
    <t xml:space="preserve">Trade and other payables </t>
  </si>
  <si>
    <t>Income tax liability</t>
  </si>
  <si>
    <t>Deposits for equipment</t>
  </si>
  <si>
    <t>Total current liabilities</t>
  </si>
  <si>
    <t>Total liabilities</t>
  </si>
  <si>
    <r>
      <t>2017</t>
    </r>
    <r>
      <rPr>
        <i/>
        <sz val="10"/>
        <color theme="1"/>
        <rFont val="Calibri"/>
        <family val="2"/>
        <charset val="238"/>
        <scheme val="minor"/>
      </rPr>
      <t xml:space="preserve"> (MSR 18/IAS 18 basis)</t>
    </r>
  </si>
  <si>
    <r>
      <t>2018</t>
    </r>
    <r>
      <rPr>
        <sz val="10"/>
        <color theme="1"/>
        <rFont val="Calibri"/>
        <family val="2"/>
        <charset val="238"/>
        <scheme val="minor"/>
      </rPr>
      <t xml:space="preserve"> </t>
    </r>
    <r>
      <rPr>
        <i/>
        <sz val="10"/>
        <color theme="1"/>
        <rFont val="Calibri"/>
        <family val="2"/>
        <charset val="238"/>
        <scheme val="minor"/>
      </rPr>
      <t>(MSSF 15 / IFRS 15 basis</t>
    </r>
    <r>
      <rPr>
        <b/>
        <i/>
        <sz val="10"/>
        <color theme="1"/>
        <rFont val="Calibri"/>
        <family val="2"/>
        <charset val="238"/>
        <scheme val="minor"/>
      </rPr>
      <t xml:space="preserve">
</t>
    </r>
    <r>
      <rPr>
        <i/>
        <sz val="10"/>
        <color theme="1"/>
        <rFont val="Calibri"/>
        <family val="2"/>
        <charset val="238"/>
        <scheme val="minor"/>
      </rPr>
      <t>Grupa Netia konsolidowana od 22 maja 2018 r. 
/ Netia Group consolidated since May 22, 2018)</t>
    </r>
  </si>
  <si>
    <r>
      <t xml:space="preserve">2019 </t>
    </r>
    <r>
      <rPr>
        <i/>
        <sz val="10"/>
        <color theme="1"/>
        <rFont val="Calibri"/>
        <family val="2"/>
        <charset val="238"/>
        <scheme val="minor"/>
      </rPr>
      <t>(MSSF 15 i MSSF 16 / IFRS 15 and IFRS 16 basis)</t>
    </r>
  </si>
  <si>
    <t>1) Restatement due to final purchase price allocation of Metelem</t>
  </si>
  <si>
    <t>2) From June 30, 2015 the item "Deposits for equipment" is accounted for in the item "Trade and other payables"</t>
  </si>
  <si>
    <t>3) As at December 31, 2019 the Group changed the presentation of the item Other non-current assets by reclassifying and sperately presenting the item Non-current trade receivables. Data as of December 31, 2018 have been restated.</t>
  </si>
  <si>
    <t>CONSOLIDATED CASH FLOW STATEMENT</t>
  </si>
  <si>
    <t>Net profit</t>
  </si>
  <si>
    <t>Adjustments for:</t>
  </si>
  <si>
    <t>Payments for film licenses and sports rights</t>
  </si>
  <si>
    <t>Amortization of film licenses and sports rights</t>
  </si>
  <si>
    <t>(Gain)/loss on the sale of property, plant and equipment and intangible assets</t>
  </si>
  <si>
    <t>Cost of programming rights sold</t>
  </si>
  <si>
    <t>Interest expense</t>
  </si>
  <si>
    <t>Change in inventories</t>
  </si>
  <si>
    <t>Change in receivables and other assets</t>
  </si>
  <si>
    <t>Change in liabilities and provisions</t>
  </si>
  <si>
    <t>Change in contract assets</t>
  </si>
  <si>
    <t>Change in contract liabilities</t>
  </si>
  <si>
    <t>Change in internal production and advance payments</t>
  </si>
  <si>
    <t>Valuation of hedging instruments</t>
  </si>
  <si>
    <r>
      <t>Share of the profit of a joint venture</t>
    </r>
    <r>
      <rPr>
        <sz val="10"/>
        <color indexed="8"/>
        <rFont val="Calibri"/>
        <family val="2"/>
        <charset val="238"/>
      </rPr>
      <t xml:space="preserve"> accounted for using the equity method</t>
    </r>
  </si>
  <si>
    <t>Share of the (profit)/loss of associates accounted for using the equity method</t>
  </si>
  <si>
    <t>Foreign exchange losses/(gains), net</t>
  </si>
  <si>
    <t>Net additions of reception equipment</t>
  </si>
  <si>
    <t>Cumulative catch-up and early redemption costs</t>
  </si>
  <si>
    <t>Early redemption costs</t>
  </si>
  <si>
    <t>Net (gain)/loss on derivatives</t>
  </si>
  <si>
    <t>Other adjustments</t>
  </si>
  <si>
    <t>Cash from/ (used in) operating activities</t>
  </si>
  <si>
    <t>Income tax paid</t>
  </si>
  <si>
    <t>Interest received from operating activities</t>
  </si>
  <si>
    <t>Net cash from/ (used in) operating activities</t>
  </si>
  <si>
    <t>Acquisition of property, plant and equipment</t>
  </si>
  <si>
    <t>Acquisition of intangible assets</t>
  </si>
  <si>
    <t>Acquisition of bonds</t>
  </si>
  <si>
    <t>Concession payments</t>
  </si>
  <si>
    <t>Acquisition of shares in associates and other entities</t>
  </si>
  <si>
    <t>Acquisition of subsidiaries, net of cash acquired</t>
  </si>
  <si>
    <t>Share capital increase</t>
  </si>
  <si>
    <t>Proceeds from sale of shares in subsidaries</t>
  </si>
  <si>
    <t>Proceeds from sale of property, plant and equipment</t>
  </si>
  <si>
    <t>Investment funds inflows/(outflows)</t>
  </si>
  <si>
    <t>Granted loans</t>
  </si>
  <si>
    <t>Repayment of loans granted</t>
  </si>
  <si>
    <t>Other investing activities - derivatives</t>
  </si>
  <si>
    <t>Dividends received</t>
  </si>
  <si>
    <t>Bonds redemption with interest</t>
  </si>
  <si>
    <t>Other inflows/(outflows)</t>
  </si>
  <si>
    <t>Net cash from/ (used in) investing activities</t>
  </si>
  <si>
    <t>Repayment of loans and borrowings</t>
  </si>
  <si>
    <t>Loans and  borrowings inflows</t>
  </si>
  <si>
    <t>Bonds (redemption)/issue</t>
  </si>
  <si>
    <t>Early redemption fee</t>
  </si>
  <si>
    <t>Hedging instrument effect – principal</t>
  </si>
  <si>
    <r>
      <t xml:space="preserve">Payment of interest on loans, borrowings, bonds and commissions </t>
    </r>
    <r>
      <rPr>
        <vertAlign val="superscript"/>
        <sz val="9"/>
        <rFont val="Calibri"/>
        <family val="2"/>
        <charset val="238"/>
      </rPr>
      <t>1)</t>
    </r>
  </si>
  <si>
    <r>
      <t>Payment of interest on lease liabilities</t>
    </r>
    <r>
      <rPr>
        <vertAlign val="superscript"/>
        <sz val="10"/>
        <color indexed="8"/>
        <rFont val="Calibri"/>
        <family val="2"/>
        <charset val="238"/>
      </rPr>
      <t xml:space="preserve"> 5)</t>
    </r>
  </si>
  <si>
    <r>
      <t>Payment of lease liabilities</t>
    </r>
    <r>
      <rPr>
        <vertAlign val="superscript"/>
        <sz val="10"/>
        <color indexed="8"/>
        <rFont val="Calibri"/>
        <family val="2"/>
        <charset val="238"/>
      </rPr>
      <t xml:space="preserve"> 6)</t>
    </r>
  </si>
  <si>
    <t>Dividends paid</t>
  </si>
  <si>
    <t>Acquisition of bonds issued by Midas</t>
  </si>
  <si>
    <r>
      <t>Other outflows</t>
    </r>
    <r>
      <rPr>
        <vertAlign val="superscript"/>
        <sz val="10"/>
        <color indexed="8"/>
        <rFont val="Calibri"/>
        <family val="2"/>
        <charset val="238"/>
      </rPr>
      <t>(3)</t>
    </r>
  </si>
  <si>
    <t>Payment of share issuance-related consulting costs</t>
  </si>
  <si>
    <t>Net cash from/ (used in) financing activities</t>
  </si>
  <si>
    <t>Net increase/(decrease) in cash and cash equivalents</t>
  </si>
  <si>
    <t>Cash and cash equivalents at the beginning of the period</t>
  </si>
  <si>
    <t>Effect of exchange rate fluctuations on cash and cash equivalents</t>
  </si>
  <si>
    <t>Cash and cash equivalents at the end of the period</t>
  </si>
  <si>
    <t>1) Includes impact of hedging instruments, premium paid for early bonds’ repayment and amount paid for costs related to new financing.</t>
  </si>
  <si>
    <t>2) Item included in "Other adjustments".</t>
  </si>
  <si>
    <t>3) Item includes Finance lease – principal repayments.</t>
  </si>
  <si>
    <t>4) Item included in "Other inflows/(outflows)".</t>
  </si>
  <si>
    <t>5) Until December 31, 2019 this item was included in "Payment of interest on loans, borrowings, bonds,  lease and commissions".</t>
  </si>
  <si>
    <t>6) Until December 31, 2019 this item was included in "Other outflows".</t>
  </si>
  <si>
    <t>7) In Q2 2019 the Company exercised the earlier repurchase and redemtion of series A bonds and the issuance of series B bonds. Cash inflow and outflow due to these events amounted to PLN 893m.</t>
  </si>
  <si>
    <t>3 months ended
March 31</t>
  </si>
  <si>
    <t>6 months ended
June 30</t>
  </si>
  <si>
    <t>9 months ended
September 30</t>
  </si>
  <si>
    <t>12 months ended
December 31</t>
  </si>
  <si>
    <r>
      <t xml:space="preserve">2019 </t>
    </r>
    <r>
      <rPr>
        <i/>
        <sz val="10"/>
        <color theme="1"/>
        <rFont val="Calibri"/>
        <family val="2"/>
        <charset val="238"/>
        <scheme val="minor"/>
      </rPr>
      <t>(MSR 17 / IAS 17)</t>
    </r>
  </si>
  <si>
    <r>
      <t xml:space="preserve">2018 </t>
    </r>
    <r>
      <rPr>
        <i/>
        <sz val="10"/>
        <color theme="1"/>
        <rFont val="Calibri"/>
        <family val="2"/>
        <charset val="238"/>
        <scheme val="minor"/>
      </rPr>
      <t>(MSSF 15 / IFRS 15 basis
Grupa Netia konsolidowana od 22 maja 2018 r. 
/ Netia Group consolidated since May 22, 2018)</t>
    </r>
  </si>
  <si>
    <r>
      <t>SEGMENT OF SERVICES TO INDIVIDUAL AND BUSINESS CUSTOMERS</t>
    </r>
    <r>
      <rPr>
        <b/>
        <vertAlign val="superscript"/>
        <sz val="9"/>
        <color rgb="FF000000"/>
        <rFont val="Calibri"/>
        <family val="2"/>
        <charset val="238"/>
        <scheme val="minor"/>
      </rPr>
      <t>1)</t>
    </r>
  </si>
  <si>
    <r>
      <t>Total number of RGUs</t>
    </r>
    <r>
      <rPr>
        <b/>
        <vertAlign val="superscript"/>
        <sz val="9"/>
        <rFont val="Calibri"/>
        <family val="2"/>
        <charset val="238"/>
        <scheme val="minor"/>
      </rPr>
      <t>2)</t>
    </r>
    <r>
      <rPr>
        <b/>
        <sz val="9"/>
        <rFont val="Calibri"/>
        <family val="2"/>
        <charset val="238"/>
        <scheme val="minor"/>
      </rPr>
      <t xml:space="preserve"> (contract + prepaid), EOP</t>
    </r>
  </si>
  <si>
    <t>CONTRACT SERVICES</t>
  </si>
  <si>
    <t>Total number of RGUs (EOP), including:</t>
  </si>
  <si>
    <t>Pay TV, including:</t>
  </si>
  <si>
    <t>Mobile telephony</t>
  </si>
  <si>
    <t>Number of customers</t>
  </si>
  <si>
    <r>
      <t>ARPU per customer</t>
    </r>
    <r>
      <rPr>
        <vertAlign val="superscript"/>
        <sz val="9"/>
        <color rgb="FF000000"/>
        <rFont val="Calibri"/>
        <family val="2"/>
        <charset val="238"/>
        <scheme val="minor"/>
      </rPr>
      <t>3)</t>
    </r>
    <r>
      <rPr>
        <sz val="9"/>
        <color rgb="FF000000"/>
        <rFont val="Calibri"/>
        <family val="2"/>
        <charset val="238"/>
        <scheme val="minor"/>
      </rPr>
      <t xml:space="preserve"> acc. to IFRS 15 [PLN]</t>
    </r>
  </si>
  <si>
    <r>
      <t>ARPU per customer</t>
    </r>
    <r>
      <rPr>
        <vertAlign val="superscript"/>
        <sz val="9"/>
        <color rgb="FF000000"/>
        <rFont val="Calibri"/>
        <family val="2"/>
        <charset val="238"/>
        <scheme val="minor"/>
      </rPr>
      <t xml:space="preserve">3) </t>
    </r>
    <r>
      <rPr>
        <sz val="9"/>
        <color rgb="FF000000"/>
        <rFont val="Calibri"/>
        <family val="2"/>
        <charset val="238"/>
        <scheme val="minor"/>
      </rPr>
      <t>acc. to IAS 18 [PLN]</t>
    </r>
  </si>
  <si>
    <r>
      <t>Churn per customer</t>
    </r>
    <r>
      <rPr>
        <vertAlign val="superscript"/>
        <sz val="9"/>
        <color rgb="FF000000"/>
        <rFont val="Calibri"/>
        <family val="2"/>
        <charset val="238"/>
        <scheme val="minor"/>
      </rPr>
      <t>4)</t>
    </r>
  </si>
  <si>
    <t xml:space="preserve">RGU saturation per one cusotmer </t>
  </si>
  <si>
    <t>Average number of RGUs, including:</t>
  </si>
  <si>
    <t>Average number of customers</t>
  </si>
  <si>
    <t>PREPAID SERVICES</t>
  </si>
  <si>
    <t>Total number of RGUs, including:</t>
  </si>
  <si>
    <t>Pay TV</t>
  </si>
  <si>
    <t xml:space="preserve">Mobile telephony </t>
  </si>
  <si>
    <r>
      <t>ARPU per total prepaid RGU</t>
    </r>
    <r>
      <rPr>
        <vertAlign val="superscript"/>
        <sz val="9"/>
        <color rgb="FF000000"/>
        <rFont val="Calibri"/>
        <family val="2"/>
        <charset val="238"/>
        <scheme val="minor"/>
      </rPr>
      <t>5)</t>
    </r>
    <r>
      <rPr>
        <sz val="9"/>
        <color rgb="FF000000"/>
        <rFont val="Calibri"/>
        <family val="2"/>
        <charset val="238"/>
        <scheme val="minor"/>
      </rPr>
      <t xml:space="preserve"> [PLN]</t>
    </r>
  </si>
  <si>
    <t>Average number of RGUs (EOP), including:</t>
  </si>
  <si>
    <t xml:space="preserve">4) Churn (współczynnik odejść lub odpływu) - rozwiązanie umowy z Klientem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</si>
  <si>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1) Customer - natural person, legal entity or an organizational unit without legal personality who has at least one active service provided in a contract model. </t>
  </si>
  <si>
    <t xml:space="preserve">2) RGU (revenue generating unit) - single, active service of pay TV, Interneet Access or mobile telephony provided in contract or prepaid model. </t>
  </si>
  <si>
    <t xml:space="preserve">3) ARPU per customer - average monthly revenue per customer generated in a given settlement period (including interconnect revenue). </t>
  </si>
  <si>
    <t xml:space="preserve">4) Churn - termination of the contract with Customer by means of the termination notice, collections or other activities resulting in the situation that after termination of the contract the Customer does not have any active service provided in the contract model. Churn rate presents the relation of the number of customers for whom the last service has been deactivated (by means of the termination notice as well as deactivation as a result of collection activities or other reasons) within the last 12 months to the annual average number of customers in this 12-month period. 
</t>
  </si>
  <si>
    <t>5) ARPU per total prepaid RGU - average monthly revenue per prepaid RGU generated in a given settlement period (including interconnect revenue)</t>
  </si>
  <si>
    <t>6) Operational indicators excluding the results of Netia Group over which Cyfrowy Polsat Group took control effective May 22, 2018. Due to the fact that Netia S.A. is a company listed publically on the Warsaw Stock Exchange in Warsaw, its detailed operational and financial results are continuously available at the address: inwestor.netia.pl.</t>
  </si>
  <si>
    <t>3 miesiące zakończone</t>
  </si>
  <si>
    <t>for the 3-month period ended</t>
  </si>
  <si>
    <t>31 marca 2020</t>
  </si>
  <si>
    <t>31 March 2020</t>
  </si>
  <si>
    <t>31  marca 2019</t>
  </si>
  <si>
    <t>31 March 2019</t>
  </si>
  <si>
    <t>31 March</t>
  </si>
  <si>
    <t>30 June</t>
  </si>
  <si>
    <t>30 September</t>
  </si>
  <si>
    <t>31 December</t>
  </si>
  <si>
    <t>3) Na 31 grudnia 2019 roku Grupa zmieniła prezentację pozycji Inne aktywa długoterminowe i wydzieliła i zaprezentowała osobno pozycję Długoterminowe należności z tytułu dostaw i usług. Dane na 31 grudnia 2018 roku zostały przekształcone w celu uzgodnienia prezentacji.</t>
  </si>
  <si>
    <t>Other operating income / (loss), net</t>
  </si>
  <si>
    <r>
      <t xml:space="preserve">2019 </t>
    </r>
    <r>
      <rPr>
        <i/>
        <sz val="10"/>
        <color theme="1"/>
        <rFont val="Calibri"/>
        <family val="2"/>
        <charset val="238"/>
        <scheme val="minor"/>
      </rPr>
      <t>(MSSF 16 / IFRS 16)</t>
    </r>
  </si>
</sst>
</file>

<file path=xl/styles.xml><?xml version="1.0" encoding="utf-8"?>
<styleSheet xmlns="http://schemas.openxmlformats.org/spreadsheetml/2006/main" xmlns:mc="http://schemas.openxmlformats.org/markup-compatibility/2006" xmlns:x14ac="http://schemas.microsoft.com/office/spreadsheetml/2009/9/ac" mc:Ignorable="x14ac">
  <numFmts count="54">
    <numFmt numFmtId="42" formatCode="_-* #,##0\ &quot;zł&quot;_-;\-* #,##0\ &quot;zł&quot;_-;_-* &quot;-&quot;\ &quot;zł&quot;_-;_-@_-"/>
    <numFmt numFmtId="41" formatCode="_-* #,##0\ _z_ł_-;\-* #,##0\ _z_ł_-;_-* &quot;-&quot;\ _z_ł_-;_-@_-"/>
    <numFmt numFmtId="44" formatCode="_-* #,##0.00\ &quot;zł&quot;_-;\-* #,##0.00\ &quot;zł&quot;_-;_-* &quot;-&quot;??\ &quot;zł&quot;_-;_-@_-"/>
    <numFmt numFmtId="43" formatCode="_-* #,##0.00\ _z_ł_-;\-* #,##0.00\ _z_ł_-;_-* &quot;-&quot;??\ _z_ł_-;_-@_-"/>
    <numFmt numFmtId="164" formatCode="_(* #,##0_);_(* \(#,##0\);_(* &quot;-&quot;_);_(@_)"/>
    <numFmt numFmtId="165" formatCode="_(* #,##0.00_);_(* \(#,##0.00\);_(* &quot;-&quot;??_);_(@_)"/>
    <numFmt numFmtId="166" formatCode="0.0"/>
    <numFmt numFmtId="167" formatCode="0.000"/>
    <numFmt numFmtId="168" formatCode="0.0%"/>
    <numFmt numFmtId="169" formatCode="#,##0.0"/>
    <numFmt numFmtId="170" formatCode="#,##0.0;\-#,##0.0"/>
    <numFmt numFmtId="171" formatCode="#,##0.0\ ;\(#,##0\)"/>
    <numFmt numFmtId="172" formatCode="#,##0.0\ ;\(#,##0.0\)"/>
    <numFmt numFmtId="173" formatCode="\-"/>
    <numFmt numFmtId="174" formatCode="###0.0"/>
    <numFmt numFmtId="175" formatCode="###0.0;\(###0.0\)"/>
    <numFmt numFmtId="176" formatCode="#,##0.0;\(#,##0.0\)"/>
    <numFmt numFmtId="177" formatCode="_-* #,##0.00\ [$€-1]_-;\-* #,##0.00\ [$€-1]_-;_-* &quot;-&quot;??\ [$€-1]_-"/>
    <numFmt numFmtId="178" formatCode="#,##0.00;\(#,##0.00\)"/>
    <numFmt numFmtId="179" formatCode="##\.##0.0;\(##\.##0.0\)"/>
    <numFmt numFmtId="180" formatCode="#,##0.0\ ;\(#,##0.0\);\-"/>
    <numFmt numFmtId="181" formatCode="#,##0.0;\(#,##0.0\);\-"/>
    <numFmt numFmtId="182" formatCode="#,##0.000;\(#,##0.000\);\-"/>
    <numFmt numFmtId="183" formatCode="#,##0;\(#,##0\);\-"/>
    <numFmt numFmtId="184" formatCode="#,##0.0,;\(#,##0.0\)"/>
    <numFmt numFmtId="185" formatCode="#,##0.0,;\(#,##0.0\);\-"/>
    <numFmt numFmtId="186" formatCode="General;\ \(General\)"/>
    <numFmt numFmtId="187" formatCode="#,##0.00;\(#,##0.00\);\-"/>
    <numFmt numFmtId="188" formatCode="_([$€]* #,##0.00_);_([$€]* \(#,##0.00\);_([$€]* &quot;-&quot;??_);_(@_)"/>
    <numFmt numFmtId="189" formatCode="[$-415]mmm\ yy;@"/>
    <numFmt numFmtId="190" formatCode="_ &quot;kr&quot;\ * #,##0.00_ ;_ &quot;kr&quot;\ * \-#,##0.00_ ;_ &quot;kr&quot;\ * &quot;-&quot;??_ ;_ @_ "/>
    <numFmt numFmtId="191" formatCode="_ * #,##0.00_ ;_ * \-#,##0.00_ ;_ * &quot;-&quot;??_ ;_ @_ "/>
    <numFmt numFmtId="192" formatCode="&quot;$&quot;#,##0;[Red]\-&quot;$&quot;#,##0"/>
    <numFmt numFmtId="193" formatCode="d/m/yy\ h:mm"/>
    <numFmt numFmtId="194" formatCode="General_)"/>
    <numFmt numFmtId="195" formatCode="0.000000000"/>
    <numFmt numFmtId="196" formatCode="\k\$#"/>
    <numFmt numFmtId="197" formatCode="\H\U\F\ 0.000"/>
    <numFmt numFmtId="198" formatCode="&quot;$&quot;#,##0.00\ ;\(&quot;$&quot;#,##0.00\)"/>
    <numFmt numFmtId="199" formatCode="\k\$\ 0.000"/>
    <numFmt numFmtId="200" formatCode="\k\E\C\U\ 0.000"/>
    <numFmt numFmtId="201" formatCode="\k\H\U\F\ 0.000"/>
    <numFmt numFmtId="202" formatCode="\k\L\E\ 0.000"/>
    <numFmt numFmtId="203" formatCode="_-* #,##0.00\ &quot;Sk&quot;_-;\-* #,##0.00\ &quot;Sk&quot;_-;_-* &quot;-&quot;??\ &quot;Sk&quot;_-;_-@_-"/>
    <numFmt numFmtId="204" formatCode="_ * #,##0_)\ _$_ ;_ * \(#,##0\)\ _$_ ;_ * &quot;-&quot;_)\ _$_ ;_ @_ "/>
    <numFmt numFmtId="205" formatCode="_ * #,##0.00_)\ _$_ ;_ * \(#,##0.00\)\ _$_ ;_ * &quot;-&quot;??_)\ _$_ ;_ @_ "/>
    <numFmt numFmtId="206" formatCode="_ * #,##0_)\ &quot;$&quot;_ ;_ * \(#,##0\)\ &quot;$&quot;_ ;_ * &quot;-&quot;_)\ &quot;$&quot;_ ;_ @_ "/>
    <numFmt numFmtId="207" formatCode="_ * #,##0.00_)\ &quot;$&quot;_ ;_ * \(#,##0.00\)\ &quot;$&quot;_ ;_ * &quot;-&quot;??_)\ &quot;$&quot;_ ;_ @_ "/>
    <numFmt numFmtId="208" formatCode="&quot;Note&quot;\ #"/>
    <numFmt numFmtId="209" formatCode="&quot;See Note &quot;\ #"/>
    <numFmt numFmtId="210" formatCode="\$\ #,##0"/>
    <numFmt numFmtId="211" formatCode="&quot;L.&quot;\ #,##0;[Red]\-&quot;L.&quot;\ #,##0"/>
    <numFmt numFmtId="212" formatCode="_-&quot;£&quot;* #,##0_-;\-&quot;£&quot;* #,##0_-;_-&quot;£&quot;* &quot;-&quot;_-;_-@_-"/>
    <numFmt numFmtId="213" formatCode="_-&quot;£&quot;* #,##0.00_-;\-&quot;£&quot;* #,##0.00_-;_-&quot;£&quot;* &quot;-&quot;??_-;_-@_-"/>
  </numFmts>
  <fonts count="195">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sz val="9"/>
      <color indexed="8"/>
      <name val="Calibri"/>
      <family val="2"/>
      <charset val="238"/>
    </font>
    <font>
      <sz val="11"/>
      <color indexed="8"/>
      <name val="Czcionka tekstu podstawowego"/>
      <family val="2"/>
      <charset val="238"/>
    </font>
    <font>
      <b/>
      <sz val="9"/>
      <name val="Calibri"/>
      <family val="2"/>
      <charset val="238"/>
    </font>
    <font>
      <sz val="8"/>
      <name val="Czcionka tekstu podstawowego"/>
      <family val="2"/>
      <charset val="238"/>
    </font>
    <font>
      <sz val="10"/>
      <color indexed="8"/>
      <name val="Calibri"/>
      <family val="2"/>
      <charset val="238"/>
    </font>
    <font>
      <i/>
      <sz val="9"/>
      <color theme="1"/>
      <name val="Calibri"/>
      <family val="2"/>
      <charset val="238"/>
      <scheme val="minor"/>
    </font>
    <font>
      <sz val="11"/>
      <color theme="1"/>
      <name val="Czcionka tekstu podstawowego"/>
      <family val="2"/>
      <charset val="238"/>
    </font>
    <font>
      <b/>
      <sz val="11"/>
      <color theme="1"/>
      <name val="Calibri"/>
      <family val="2"/>
      <charset val="238"/>
      <scheme val="minor"/>
    </font>
    <font>
      <b/>
      <sz val="12"/>
      <color theme="9"/>
      <name val="Calibri"/>
      <family val="2"/>
      <charset val="238"/>
      <scheme val="minor"/>
    </font>
    <font>
      <b/>
      <sz val="11"/>
      <color rgb="FF000000"/>
      <name val="Calibri"/>
      <family val="2"/>
      <charset val="238"/>
      <scheme val="minor"/>
    </font>
    <font>
      <b/>
      <sz val="9"/>
      <color theme="9"/>
      <name val="Calibri"/>
      <family val="2"/>
      <charset val="238"/>
      <scheme val="minor"/>
    </font>
    <font>
      <b/>
      <sz val="9"/>
      <color rgb="FF000000"/>
      <name val="Calibri"/>
      <family val="2"/>
      <charset val="238"/>
      <scheme val="minor"/>
    </font>
    <font>
      <b/>
      <sz val="9"/>
      <color theme="1"/>
      <name val="Calibri"/>
      <family val="2"/>
      <charset val="238"/>
      <scheme val="minor"/>
    </font>
    <font>
      <sz val="9"/>
      <name val="Calibri"/>
      <family val="2"/>
      <charset val="238"/>
      <scheme val="minor"/>
    </font>
    <font>
      <b/>
      <sz val="10"/>
      <color theme="9"/>
      <name val="Calibri"/>
      <family val="2"/>
      <charset val="238"/>
      <scheme val="minor"/>
    </font>
    <font>
      <b/>
      <sz val="10"/>
      <color rgb="FF000000"/>
      <name val="Calibri"/>
      <family val="2"/>
      <charset val="238"/>
      <scheme val="minor"/>
    </font>
    <font>
      <b/>
      <sz val="10"/>
      <color indexed="8"/>
      <name val="Calibri"/>
      <family val="2"/>
      <charset val="238"/>
    </font>
    <font>
      <b/>
      <sz val="10"/>
      <color theme="1"/>
      <name val="Calibri"/>
      <family val="2"/>
      <charset val="238"/>
      <scheme val="minor"/>
    </font>
    <font>
      <vertAlign val="superscript"/>
      <sz val="10"/>
      <color indexed="8"/>
      <name val="Calibri"/>
      <family val="2"/>
      <charset val="238"/>
    </font>
    <font>
      <b/>
      <sz val="10"/>
      <color indexed="8"/>
      <name val="Calibri"/>
      <family val="2"/>
      <charset val="238"/>
      <scheme val="minor"/>
    </font>
    <font>
      <sz val="10"/>
      <color theme="1"/>
      <name val="Calibri"/>
      <family val="2"/>
      <charset val="238"/>
      <scheme val="minor"/>
    </font>
    <font>
      <sz val="10"/>
      <color theme="1"/>
      <name val="Czcionka tekstu podstawowego"/>
      <family val="2"/>
      <charset val="238"/>
    </font>
    <font>
      <i/>
      <sz val="11"/>
      <color theme="1"/>
      <name val="Calibri"/>
      <family val="2"/>
      <charset val="238"/>
      <scheme val="minor"/>
    </font>
    <font>
      <b/>
      <i/>
      <sz val="11"/>
      <color theme="1"/>
      <name val="Calibri"/>
      <family val="2"/>
      <charset val="238"/>
      <scheme val="minor"/>
    </font>
    <font>
      <vertAlign val="superscript"/>
      <sz val="11"/>
      <color theme="1"/>
      <name val="Calibri"/>
      <family val="2"/>
      <charset val="238"/>
      <scheme val="minor"/>
    </font>
    <font>
      <sz val="9"/>
      <color theme="1"/>
      <name val="Calibri"/>
      <family val="2"/>
      <charset val="238"/>
      <scheme val="minor"/>
    </font>
    <font>
      <b/>
      <vertAlign val="superscript"/>
      <sz val="10"/>
      <color indexed="8"/>
      <name val="Calibri"/>
      <family val="2"/>
      <charset val="238"/>
    </font>
    <font>
      <sz val="10"/>
      <name val="Calibri"/>
      <family val="2"/>
      <charset val="238"/>
    </font>
    <font>
      <i/>
      <sz val="10"/>
      <color theme="1"/>
      <name val="Calibri"/>
      <family val="2"/>
      <charset val="238"/>
      <scheme val="minor"/>
    </font>
    <font>
      <i/>
      <sz val="10"/>
      <color indexed="8"/>
      <name val="Calibri"/>
      <family val="2"/>
      <charset val="238"/>
    </font>
    <font>
      <b/>
      <sz val="10"/>
      <name val="Calibri"/>
      <family val="2"/>
      <charset val="238"/>
    </font>
    <font>
      <vertAlign val="superscript"/>
      <sz val="10"/>
      <name val="Calibri"/>
      <family val="2"/>
      <charset val="238"/>
    </font>
    <font>
      <b/>
      <vertAlign val="superscript"/>
      <sz val="9"/>
      <color rgb="FF000000"/>
      <name val="Calibri"/>
      <family val="2"/>
      <charset val="238"/>
      <scheme val="minor"/>
    </font>
    <font>
      <b/>
      <sz val="9"/>
      <color indexed="8"/>
      <name val="Calibri"/>
      <family val="2"/>
      <charset val="238"/>
      <scheme val="minor"/>
    </font>
    <font>
      <b/>
      <sz val="9"/>
      <name val="Calibri"/>
      <family val="2"/>
      <charset val="238"/>
      <scheme val="minor"/>
    </font>
    <font>
      <b/>
      <vertAlign val="superscript"/>
      <sz val="9"/>
      <name val="Calibri"/>
      <family val="2"/>
      <charset val="238"/>
      <scheme val="minor"/>
    </font>
    <font>
      <b/>
      <sz val="9"/>
      <color rgb="FFFD8A00"/>
      <name val="Calibri"/>
      <family val="2"/>
      <charset val="238"/>
      <scheme val="minor"/>
    </font>
    <font>
      <sz val="9"/>
      <color rgb="FF000000"/>
      <name val="Calibri"/>
      <family val="2"/>
      <charset val="238"/>
      <scheme val="minor"/>
    </font>
    <font>
      <i/>
      <sz val="9"/>
      <color rgb="FF000000"/>
      <name val="Calibri"/>
      <family val="2"/>
      <charset val="238"/>
      <scheme val="minor"/>
    </font>
    <font>
      <i/>
      <sz val="9"/>
      <name val="Calibri"/>
      <family val="2"/>
      <charset val="238"/>
      <scheme val="minor"/>
    </font>
    <font>
      <vertAlign val="superscript"/>
      <sz val="9"/>
      <color rgb="FF000000"/>
      <name val="Calibri"/>
      <family val="2"/>
      <charset val="238"/>
      <scheme val="minor"/>
    </font>
    <font>
      <sz val="9"/>
      <color theme="9"/>
      <name val="Calibri"/>
      <family val="2"/>
      <charset val="238"/>
      <scheme val="minor"/>
    </font>
    <font>
      <b/>
      <sz val="11"/>
      <color indexed="8"/>
      <name val="Calibri"/>
      <family val="2"/>
      <charset val="238"/>
      <scheme val="minor"/>
    </font>
    <font>
      <sz val="10"/>
      <color indexed="8"/>
      <name val="Calibri"/>
      <family val="2"/>
      <charset val="238"/>
      <scheme val="minor"/>
    </font>
    <font>
      <b/>
      <sz val="10"/>
      <color theme="9"/>
      <name val="Calibri"/>
      <family val="2"/>
      <charset val="238"/>
    </font>
    <font>
      <sz val="11"/>
      <color theme="1"/>
      <name val="Calibri"/>
      <family val="2"/>
      <charset val="238"/>
    </font>
    <font>
      <b/>
      <sz val="10"/>
      <color rgb="FF000000"/>
      <name val="Calibri"/>
      <family val="2"/>
      <charset val="238"/>
    </font>
    <font>
      <b/>
      <sz val="11"/>
      <color theme="1"/>
      <name val="Calibri"/>
      <family val="2"/>
      <charset val="238"/>
    </font>
    <font>
      <b/>
      <sz val="10"/>
      <color theme="1"/>
      <name val="Calibri"/>
      <family val="2"/>
      <charset val="238"/>
    </font>
    <font>
      <sz val="9"/>
      <name val="Calibri"/>
      <family val="2"/>
      <charset val="238"/>
    </font>
    <font>
      <b/>
      <vertAlign val="superscript"/>
      <sz val="11"/>
      <color theme="1"/>
      <name val="Calibri"/>
      <family val="2"/>
      <charset val="238"/>
    </font>
    <font>
      <b/>
      <vertAlign val="superscript"/>
      <sz val="9"/>
      <color indexed="8"/>
      <name val="Calibri"/>
      <family val="2"/>
      <charset val="238"/>
      <scheme val="minor"/>
    </font>
    <font>
      <sz val="11"/>
      <name val="Calibri"/>
      <family val="2"/>
      <charset val="238"/>
      <scheme val="minor"/>
    </font>
    <font>
      <sz val="10"/>
      <name val="Calibri"/>
      <family val="2"/>
      <charset val="238"/>
      <scheme val="minor"/>
    </font>
    <font>
      <sz val="11"/>
      <name val="Calibri"/>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sz val="11"/>
      <color theme="1"/>
      <name val="Arial Narrow"/>
      <family val="2"/>
      <charset val="238"/>
    </font>
    <font>
      <sz val="10"/>
      <color rgb="FF000000"/>
      <name val="Arial"/>
      <family val="2"/>
      <charset val="238"/>
    </font>
    <font>
      <sz val="9"/>
      <color theme="1"/>
      <name val="Arial"/>
      <family val="2"/>
      <charset val="238"/>
    </font>
    <font>
      <sz val="10"/>
      <name val="Arial CE"/>
      <charset val="238"/>
    </font>
    <font>
      <sz val="10"/>
      <name val="Times New Roman CE"/>
      <charset val="238"/>
    </font>
    <font>
      <sz val="9"/>
      <name val="Arial CE"/>
      <charset val="238"/>
    </font>
    <font>
      <sz val="9"/>
      <name val="Helv"/>
    </font>
    <font>
      <sz val="10"/>
      <name val="Arial"/>
      <family val="2"/>
      <charset val="238"/>
    </font>
    <font>
      <sz val="10"/>
      <name val="Courier"/>
      <family val="3"/>
    </font>
    <font>
      <sz val="8"/>
      <name val="Tms Rmn"/>
    </font>
    <font>
      <sz val="9"/>
      <name val="Courier"/>
      <family val="3"/>
    </font>
    <font>
      <sz val="10"/>
      <name val="Dutch"/>
    </font>
    <font>
      <sz val="10"/>
      <name val="MS Sans Serif"/>
      <family val="2"/>
      <charset val="238"/>
    </font>
    <font>
      <sz val="11"/>
      <color indexed="8"/>
      <name val="Calibri"/>
      <family val="2"/>
      <charset val="238"/>
    </font>
    <font>
      <sz val="11"/>
      <color indexed="9"/>
      <name val="Czcionka tekstu podstawowego"/>
      <family val="2"/>
      <charset val="238"/>
    </font>
    <font>
      <sz val="11"/>
      <color theme="0"/>
      <name val="Czcionka tekstu podstawowego"/>
      <family val="2"/>
      <charset val="238"/>
    </font>
    <font>
      <b/>
      <sz val="12"/>
      <name val="Arial"/>
      <family val="2"/>
      <charset val="238"/>
    </font>
    <font>
      <sz val="11"/>
      <color indexed="62"/>
      <name val="Czcionka tekstu podstawowego"/>
      <family val="2"/>
      <charset val="238"/>
    </font>
    <font>
      <sz val="11"/>
      <color rgb="FF3F3F76"/>
      <name val="Czcionka tekstu podstawowego"/>
      <family val="2"/>
      <charset val="238"/>
    </font>
    <font>
      <b/>
      <sz val="11"/>
      <color indexed="63"/>
      <name val="Czcionka tekstu podstawowego"/>
      <family val="2"/>
      <charset val="238"/>
    </font>
    <font>
      <b/>
      <sz val="11"/>
      <color rgb="FF3F3F3F"/>
      <name val="Czcionka tekstu podstawowego"/>
      <family val="2"/>
      <charset val="238"/>
    </font>
    <font>
      <sz val="11"/>
      <color rgb="FF3F3F3F"/>
      <name val="Czcionka tekstu podstawowego"/>
      <family val="2"/>
      <charset val="238"/>
    </font>
    <font>
      <sz val="11"/>
      <color indexed="17"/>
      <name val="Czcionka tekstu podstawowego"/>
      <family val="2"/>
      <charset val="238"/>
    </font>
    <font>
      <sz val="11"/>
      <color rgb="FF006100"/>
      <name val="Czcionka tekstu podstawowego"/>
      <family val="2"/>
      <charset val="238"/>
    </font>
    <font>
      <i/>
      <sz val="10"/>
      <name val="Arial"/>
      <family val="2"/>
      <charset val="238"/>
    </font>
    <font>
      <sz val="10"/>
      <color theme="1"/>
      <name val="Tahoma"/>
      <family val="2"/>
      <charset val="238"/>
    </font>
    <font>
      <sz val="10"/>
      <name val="Arial"/>
      <family val="2"/>
    </font>
    <font>
      <sz val="11"/>
      <color theme="1"/>
      <name val="Czcionka tekstu podstawowego"/>
      <family val="2"/>
    </font>
    <font>
      <sz val="12"/>
      <name val="Tms Rmn"/>
    </font>
    <font>
      <i/>
      <sz val="10"/>
      <name val="Times New Roman"/>
      <family val="1"/>
      <charset val="238"/>
    </font>
    <font>
      <b/>
      <sz val="8"/>
      <color indexed="18"/>
      <name val="PL Arial"/>
      <charset val="238"/>
    </font>
    <font>
      <sz val="8"/>
      <name val="Arial"/>
      <family val="2"/>
    </font>
    <font>
      <b/>
      <sz val="12"/>
      <color indexed="10"/>
      <name val="Arial"/>
      <family val="2"/>
      <charset val="238"/>
    </font>
    <font>
      <b/>
      <sz val="12"/>
      <name val="Arial"/>
      <family val="2"/>
    </font>
    <font>
      <b/>
      <sz val="18"/>
      <name val="Helv"/>
    </font>
    <font>
      <b/>
      <sz val="12"/>
      <name val="Helv"/>
    </font>
    <font>
      <b/>
      <sz val="12"/>
      <name val="Geneva"/>
      <family val="2"/>
    </font>
    <font>
      <u/>
      <sz val="12"/>
      <name val="Geneva"/>
      <family val="2"/>
    </font>
    <font>
      <b/>
      <sz val="10"/>
      <name val="Helv"/>
    </font>
    <font>
      <u/>
      <sz val="7"/>
      <color indexed="12"/>
      <name val="Arial"/>
      <family val="2"/>
      <charset val="238"/>
    </font>
    <font>
      <sz val="8"/>
      <name val="Geneva"/>
      <family val="2"/>
    </font>
    <font>
      <u/>
      <sz val="10"/>
      <color indexed="12"/>
      <name val="Arial"/>
      <family val="2"/>
      <charset val="238"/>
    </font>
    <font>
      <sz val="10"/>
      <name val="Arial CE"/>
    </font>
    <font>
      <sz val="10"/>
      <name val="AA Normal"/>
    </font>
    <font>
      <sz val="10"/>
      <name val="Geneva"/>
      <family val="2"/>
    </font>
    <font>
      <sz val="11"/>
      <color indexed="52"/>
      <name val="Czcionka tekstu podstawowego"/>
      <family val="2"/>
      <charset val="238"/>
    </font>
    <font>
      <sz val="11"/>
      <color rgb="FFFA7D00"/>
      <name val="Czcionka tekstu podstawowego"/>
      <family val="2"/>
      <charset val="238"/>
    </font>
    <font>
      <b/>
      <sz val="11"/>
      <color indexed="8"/>
      <name val="Czcionka tekstu podstawowego"/>
      <family val="2"/>
      <charset val="238"/>
    </font>
    <font>
      <b/>
      <sz val="11"/>
      <color indexed="9"/>
      <name val="Czcionka tekstu podstawowego"/>
      <family val="2"/>
      <charset val="238"/>
    </font>
    <font>
      <b/>
      <sz val="11"/>
      <color theme="0"/>
      <name val="Czcionka tekstu podstawowego"/>
      <family val="2"/>
      <charset val="238"/>
    </font>
    <font>
      <sz val="8"/>
      <name val="Courier"/>
      <family val="3"/>
    </font>
    <font>
      <sz val="8"/>
      <name val="Swiss"/>
      <charset val="238"/>
    </font>
    <font>
      <sz val="11"/>
      <name val="Arial"/>
      <family val="2"/>
      <charset val="238"/>
    </font>
    <font>
      <b/>
      <sz val="15"/>
      <color indexed="62"/>
      <name val="Czcionka tekstu podstawowego"/>
      <family val="2"/>
      <charset val="238"/>
    </font>
    <font>
      <b/>
      <sz val="15"/>
      <color indexed="56"/>
      <name val="Czcionka tekstu podstawowego"/>
      <family val="2"/>
      <charset val="238"/>
    </font>
    <font>
      <b/>
      <sz val="15"/>
      <color theme="3"/>
      <name val="Czcionka tekstu podstawowego"/>
      <family val="2"/>
      <charset val="238"/>
    </font>
    <font>
      <sz val="11"/>
      <color theme="3"/>
      <name val="Czcionka tekstu podstawowego"/>
      <family val="2"/>
      <charset val="238"/>
    </font>
    <font>
      <b/>
      <sz val="13"/>
      <color indexed="62"/>
      <name val="Czcionka tekstu podstawowego"/>
      <family val="2"/>
      <charset val="238"/>
    </font>
    <font>
      <b/>
      <sz val="13"/>
      <color indexed="56"/>
      <name val="Czcionka tekstu podstawowego"/>
      <family val="2"/>
      <charset val="238"/>
    </font>
    <font>
      <b/>
      <sz val="13"/>
      <color theme="3"/>
      <name val="Czcionka tekstu podstawowego"/>
      <family val="2"/>
      <charset val="238"/>
    </font>
    <font>
      <b/>
      <sz val="11"/>
      <color indexed="62"/>
      <name val="Czcionka tekstu podstawowego"/>
      <family val="2"/>
      <charset val="238"/>
    </font>
    <font>
      <b/>
      <sz val="11"/>
      <color indexed="56"/>
      <name val="Czcionka tekstu podstawowego"/>
      <family val="2"/>
      <charset val="238"/>
    </font>
    <font>
      <b/>
      <sz val="11"/>
      <color theme="3"/>
      <name val="Czcionka tekstu podstawowego"/>
      <family val="2"/>
      <charset val="238"/>
    </font>
    <font>
      <sz val="11"/>
      <color indexed="60"/>
      <name val="Czcionka tekstu podstawowego"/>
      <family val="2"/>
      <charset val="238"/>
    </font>
    <font>
      <sz val="11"/>
      <color rgb="FF9C6500"/>
      <name val="Czcionka tekstu podstawowego"/>
      <family val="2"/>
      <charset val="238"/>
    </font>
    <font>
      <sz val="10"/>
      <name val="Times New Roman"/>
      <family val="1"/>
      <charset val="238"/>
    </font>
    <font>
      <sz val="9"/>
      <color indexed="0"/>
      <name val="Arial"/>
      <family val="2"/>
      <charset val="238"/>
    </font>
    <font>
      <sz val="11"/>
      <color theme="1"/>
      <name val="Calibri"/>
      <family val="2"/>
      <scheme val="minor"/>
    </font>
    <font>
      <sz val="11"/>
      <color theme="1"/>
      <name val="Tahoma"/>
      <family val="2"/>
      <charset val="238"/>
    </font>
    <font>
      <sz val="11"/>
      <color theme="1"/>
      <name val="Cambria"/>
      <family val="2"/>
      <charset val="238"/>
      <scheme val="major"/>
    </font>
    <font>
      <sz val="8"/>
      <name val="Times New Roman"/>
      <family val="1"/>
      <charset val="238"/>
    </font>
    <font>
      <b/>
      <sz val="8"/>
      <name val="Times New Roman"/>
      <family val="1"/>
      <charset val="238"/>
    </font>
    <font>
      <b/>
      <sz val="11"/>
      <color indexed="52"/>
      <name val="Czcionka tekstu podstawowego"/>
      <family val="2"/>
      <charset val="238"/>
    </font>
    <font>
      <b/>
      <sz val="11"/>
      <color rgb="FFFA7D00"/>
      <name val="Czcionka tekstu podstawowego"/>
      <family val="2"/>
      <charset val="238"/>
    </font>
    <font>
      <sz val="8"/>
      <name val="Helv"/>
    </font>
    <font>
      <sz val="11"/>
      <color indexed="8"/>
      <name val="Times New Roman"/>
      <family val="1"/>
      <charset val="238"/>
    </font>
    <font>
      <b/>
      <i/>
      <sz val="11"/>
      <color indexed="8"/>
      <name val="Times New Roman"/>
      <family val="1"/>
      <charset val="238"/>
    </font>
    <font>
      <b/>
      <sz val="11"/>
      <color indexed="16"/>
      <name val="Times New Roman"/>
      <family val="1"/>
      <charset val="238"/>
    </font>
    <font>
      <b/>
      <sz val="22"/>
      <color indexed="8"/>
      <name val="Times New Roman"/>
      <family val="1"/>
      <charset val="238"/>
    </font>
    <font>
      <sz val="10"/>
      <name val="Lohit Hindi"/>
      <family val="2"/>
    </font>
    <font>
      <sz val="10"/>
      <name val="Tms Rmn PL"/>
      <family val="1"/>
    </font>
    <font>
      <sz val="12"/>
      <color theme="1"/>
      <name val="Calibri"/>
      <family val="2"/>
      <scheme val="minor"/>
    </font>
    <font>
      <b/>
      <sz val="10"/>
      <color indexed="8"/>
      <name val="Arial"/>
      <family val="2"/>
    </font>
    <font>
      <b/>
      <sz val="10"/>
      <color indexed="39"/>
      <name val="Arial"/>
      <family val="2"/>
    </font>
    <font>
      <sz val="10"/>
      <color indexed="8"/>
      <name val="Arial"/>
      <family val="2"/>
    </font>
    <font>
      <b/>
      <sz val="12"/>
      <color indexed="8"/>
      <name val="Arial"/>
      <family val="2"/>
      <charset val="238"/>
    </font>
    <font>
      <sz val="10"/>
      <color indexed="8"/>
      <name val="Arial"/>
      <family val="2"/>
      <charset val="238"/>
    </font>
    <font>
      <sz val="10"/>
      <color indexed="39"/>
      <name val="Arial"/>
      <family val="2"/>
    </font>
    <font>
      <sz val="19"/>
      <color indexed="48"/>
      <name val="Arial"/>
      <family val="2"/>
      <charset val="238"/>
    </font>
    <font>
      <sz val="10"/>
      <color indexed="10"/>
      <name val="Arial"/>
      <family val="2"/>
    </font>
    <font>
      <sz val="10"/>
      <name val="Helv"/>
      <charset val="204"/>
    </font>
    <font>
      <b/>
      <sz val="8"/>
      <name val="Tms Rmn"/>
    </font>
    <font>
      <b/>
      <sz val="11"/>
      <color theme="1"/>
      <name val="Czcionka tekstu podstawowego"/>
      <family val="2"/>
      <charset val="238"/>
    </font>
    <font>
      <i/>
      <sz val="11"/>
      <color indexed="23"/>
      <name val="Czcionka tekstu podstawowego"/>
      <family val="2"/>
      <charset val="238"/>
    </font>
    <font>
      <i/>
      <sz val="11"/>
      <color rgb="FF7F7F7F"/>
      <name val="Czcionka tekstu podstawowego"/>
      <family val="2"/>
      <charset val="238"/>
    </font>
    <font>
      <sz val="11"/>
      <color rgb="FF7F7F7F"/>
      <name val="Czcionka tekstu podstawowego"/>
      <family val="2"/>
      <charset val="238"/>
    </font>
    <font>
      <sz val="11"/>
      <color indexed="11"/>
      <name val="Czcionka tekstu podstawowego"/>
      <family val="2"/>
      <charset val="238"/>
    </font>
    <font>
      <sz val="11"/>
      <color indexed="10"/>
      <name val="Czcionka tekstu podstawowego"/>
      <family val="2"/>
      <charset val="238"/>
    </font>
    <font>
      <sz val="11"/>
      <color rgb="FFFF0000"/>
      <name val="Czcionka tekstu podstawowego"/>
      <family val="2"/>
      <charset val="238"/>
    </font>
    <font>
      <b/>
      <sz val="18"/>
      <color indexed="62"/>
      <name val="Cambria"/>
      <family val="2"/>
      <charset val="238"/>
    </font>
    <font>
      <b/>
      <sz val="18"/>
      <color indexed="56"/>
      <name val="Cambria"/>
      <family val="2"/>
      <charset val="238"/>
    </font>
    <font>
      <sz val="11"/>
      <color theme="3"/>
      <name val="Cambria"/>
      <family val="2"/>
      <charset val="238"/>
      <scheme val="major"/>
    </font>
    <font>
      <sz val="18"/>
      <color theme="3"/>
      <name val="Cambria"/>
      <family val="2"/>
      <charset val="238"/>
      <scheme val="major"/>
    </font>
    <font>
      <b/>
      <sz val="9"/>
      <color indexed="12"/>
      <name val="Arial"/>
      <family val="2"/>
      <charset val="238"/>
    </font>
    <font>
      <sz val="11"/>
      <color indexed="20"/>
      <name val="Czcionka tekstu podstawowego"/>
      <family val="2"/>
      <charset val="238"/>
    </font>
    <font>
      <sz val="11"/>
      <color rgb="FF9C0006"/>
      <name val="Czcionka tekstu podstawowego"/>
      <family val="2"/>
      <charset val="238"/>
    </font>
    <font>
      <b/>
      <sz val="11"/>
      <name val="Calibri"/>
      <family val="2"/>
      <charset val="238"/>
    </font>
    <font>
      <i/>
      <sz val="11"/>
      <name val="Calibri"/>
      <family val="2"/>
      <charset val="238"/>
      <scheme val="minor"/>
    </font>
    <font>
      <sz val="11"/>
      <name val="Czcionka tekstu podstawowego"/>
      <family val="2"/>
      <charset val="238"/>
    </font>
    <font>
      <b/>
      <vertAlign val="superscript"/>
      <sz val="9"/>
      <color theme="1"/>
      <name val="Calibri"/>
      <family val="2"/>
      <charset val="238"/>
      <scheme val="minor"/>
    </font>
    <font>
      <sz val="10"/>
      <color rgb="FF000000"/>
      <name val="Calibri"/>
      <family val="2"/>
      <charset val="238"/>
      <scheme val="minor"/>
    </font>
    <font>
      <vertAlign val="superscript"/>
      <sz val="10"/>
      <color theme="1"/>
      <name val="Calibri"/>
      <family val="2"/>
      <charset val="238"/>
      <scheme val="minor"/>
    </font>
    <font>
      <b/>
      <i/>
      <sz val="10"/>
      <color theme="1"/>
      <name val="Calibri"/>
      <family val="2"/>
      <charset val="238"/>
      <scheme val="minor"/>
    </font>
    <font>
      <vertAlign val="superscript"/>
      <sz val="9"/>
      <name val="Calibri"/>
      <family val="2"/>
      <charset val="238"/>
    </font>
    <font>
      <sz val="11"/>
      <color rgb="FF000000"/>
      <name val="Calibri"/>
      <family val="2"/>
      <charset val="238"/>
    </font>
  </fonts>
  <fills count="92">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7A833"/>
        <bgColor indexed="64"/>
      </patternFill>
    </fill>
    <fill>
      <patternFill patternType="mediumGray">
        <fgColor theme="0" tint="-4.9989318521683403E-2"/>
        <bgColor rgb="FFF7A833"/>
      </patternFill>
    </fill>
    <fill>
      <patternFill patternType="mediumGray">
        <fgColor rgb="FFF7A833"/>
      </patternFill>
    </fill>
    <fill>
      <patternFill patternType="mediumGray">
        <fgColor rgb="FFF7A833"/>
        <bgColor theme="0" tint="-4.9989318521683403E-2"/>
      </patternFill>
    </fill>
    <fill>
      <patternFill patternType="mediumGray">
        <fgColor theme="0" tint="-0.14996795556505021"/>
        <bgColor rgb="FFF7A833"/>
      </patternFill>
    </fill>
    <fill>
      <patternFill patternType="mediumGray">
        <fgColor theme="0" tint="-0.14996795556505021"/>
        <bgColor theme="0" tint="-4.9989318521683403E-2"/>
      </patternFill>
    </fill>
    <fill>
      <patternFill patternType="mediumGray">
        <fgColor theme="0" tint="-0.14996795556505021"/>
        <bgColor indexed="65"/>
      </patternFill>
    </fill>
    <fill>
      <patternFill patternType="mediumGray">
        <fgColor theme="0" tint="-4.9989318521683403E-2"/>
        <bgColor rgb="FFFFC000"/>
      </patternFill>
    </fill>
    <fill>
      <patternFill patternType="mediumGray">
        <fgColor rgb="FFF7A833"/>
        <bgColor theme="0"/>
      </patternFill>
    </fill>
    <fill>
      <patternFill patternType="lightGray">
        <fgColor theme="0" tint="-0.14996795556505021"/>
        <bgColor rgb="FFF7A833"/>
      </patternFill>
    </fill>
    <fill>
      <patternFill patternType="lightGray">
        <fgColor theme="0" tint="-0.14996795556505021"/>
        <bgColor theme="0"/>
      </patternFill>
    </fill>
    <fill>
      <patternFill patternType="lightGray">
        <fgColor theme="0" tint="-4.9989318521683403E-2"/>
        <bgColor rgb="FFF7A833"/>
      </patternFill>
    </fill>
    <fill>
      <patternFill patternType="mediumGray">
        <fgColor theme="0" tint="-0.24994659260841701"/>
        <bgColor rgb="FFFFC000"/>
      </patternFill>
    </fill>
    <fill>
      <patternFill patternType="solid">
        <fgColor theme="0"/>
        <bgColor theme="0"/>
      </patternFill>
    </fill>
    <fill>
      <patternFill patternType="mediumGray">
        <fgColor theme="0" tint="-0.24994659260841701"/>
        <bgColor theme="0"/>
      </patternFill>
    </fill>
    <fill>
      <patternFill patternType="mediumGray">
        <fgColor theme="0" tint="-0.24994659260841701"/>
        <bgColor theme="0" tint="-4.9989318521683403E-2"/>
      </patternFill>
    </fill>
    <fill>
      <patternFill patternType="solid">
        <fgColor theme="0" tint="-4.9989318521683403E-2"/>
        <bgColor theme="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8"/>
      </patternFill>
    </fill>
    <fill>
      <patternFill patternType="solid">
        <fgColor indexed="47"/>
      </patternFill>
    </fill>
    <fill>
      <patternFill patternType="solid">
        <fgColor indexed="26"/>
      </patternFill>
    </fill>
    <fill>
      <patternFill patternType="solid">
        <fgColor indexed="10"/>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22"/>
      </patternFill>
    </fill>
    <fill>
      <patternFill patternType="mediumGray">
        <fgColor indexed="22"/>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gray0625">
        <fgColor indexed="22"/>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solid">
        <fgColor indexed="15"/>
      </patternFill>
    </fill>
  </fills>
  <borders count="70">
    <border>
      <left/>
      <right/>
      <top/>
      <bottom/>
      <diagonal/>
    </border>
    <border>
      <left/>
      <right/>
      <top/>
      <bottom style="thin">
        <color indexed="64"/>
      </bottom>
      <diagonal/>
    </border>
    <border>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style="medium">
        <color auto="1"/>
      </top>
      <bottom/>
      <diagonal/>
    </border>
    <border>
      <left/>
      <right style="medium">
        <color indexed="64"/>
      </right>
      <top style="medium">
        <color auto="1"/>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style="medium">
        <color indexed="64"/>
      </left>
      <right/>
      <top style="dotted">
        <color indexed="64"/>
      </top>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hair">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10"/>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bottom/>
      <diagonal/>
    </border>
    <border>
      <left/>
      <right/>
      <top style="thin">
        <color indexed="49"/>
      </top>
      <bottom style="double">
        <color indexed="49"/>
      </bottom>
      <diagonal/>
    </border>
    <border>
      <left/>
      <right/>
      <top style="thin">
        <color indexed="62"/>
      </top>
      <bottom style="double">
        <color indexed="62"/>
      </bottom>
      <diagonal/>
    </border>
    <border>
      <left style="thin">
        <color indexed="10"/>
      </left>
      <right style="thin">
        <color indexed="10"/>
      </right>
      <top style="thin">
        <color indexed="10"/>
      </top>
      <bottom style="thin">
        <color indexed="10"/>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right/>
      <top style="thin">
        <color auto="1"/>
      </top>
      <bottom style="medium">
        <color auto="1"/>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medium">
        <color indexed="64"/>
      </top>
      <bottom/>
      <diagonal/>
    </border>
  </borders>
  <cellStyleXfs count="42851">
    <xf numFmtId="0" fontId="0" fillId="0" borderId="0"/>
    <xf numFmtId="165" fontId="12" fillId="0" borderId="0" applyFont="0" applyFill="0" applyBorder="0" applyAlignment="0" applyProtection="0"/>
    <xf numFmtId="9" fontId="10" fillId="0" borderId="0" applyFont="0" applyFill="0" applyBorder="0" applyAlignment="0" applyProtection="0"/>
    <xf numFmtId="177" fontId="17" fillId="0" borderId="0"/>
    <xf numFmtId="177" fontId="17" fillId="0" borderId="0"/>
    <xf numFmtId="177" fontId="17" fillId="0" borderId="0"/>
    <xf numFmtId="9" fontId="17" fillId="0" borderId="0" applyFont="0" applyFill="0" applyBorder="0" applyAlignment="0" applyProtection="0"/>
    <xf numFmtId="9" fontId="17" fillId="0" borderId="0" applyFont="0" applyFill="0" applyBorder="0" applyAlignment="0" applyProtection="0"/>
    <xf numFmtId="165" fontId="10" fillId="0" borderId="0" applyFont="0" applyFill="0" applyBorder="0" applyAlignment="0" applyProtection="0"/>
    <xf numFmtId="0" fontId="80" fillId="0" borderId="0"/>
    <xf numFmtId="43" fontId="80" fillId="0" borderId="0" applyFont="0" applyFill="0" applyBorder="0" applyAlignment="0" applyProtection="0"/>
    <xf numFmtId="188" fontId="17" fillId="0" borderId="0"/>
    <xf numFmtId="0" fontId="81" fillId="0" borderId="0"/>
    <xf numFmtId="0" fontId="81" fillId="0" borderId="0"/>
    <xf numFmtId="0" fontId="81" fillId="0" borderId="0"/>
    <xf numFmtId="188" fontId="17" fillId="0" borderId="0"/>
    <xf numFmtId="0" fontId="4" fillId="0" borderId="0"/>
    <xf numFmtId="43" fontId="4" fillId="0" borderId="0" applyFont="0" applyFill="0" applyBorder="0" applyAlignment="0" applyProtection="0"/>
    <xf numFmtId="0" fontId="83" fillId="0" borderId="0"/>
    <xf numFmtId="0" fontId="4" fillId="0" borderId="0"/>
    <xf numFmtId="0" fontId="17" fillId="0" borderId="0"/>
    <xf numFmtId="0" fontId="84" fillId="0" borderId="0"/>
    <xf numFmtId="0" fontId="85" fillId="0" borderId="0"/>
    <xf numFmtId="167" fontId="86" fillId="0" borderId="0"/>
    <xf numFmtId="190" fontId="87" fillId="0" borderId="0" applyFont="0" applyFill="0" applyBorder="0" applyAlignment="0" applyProtection="0"/>
    <xf numFmtId="0" fontId="88" fillId="0" borderId="0">
      <alignment vertical="center"/>
    </xf>
    <xf numFmtId="1" fontId="86" fillId="0" borderId="0"/>
    <xf numFmtId="166" fontId="89" fillId="0" borderId="0"/>
    <xf numFmtId="2" fontId="86" fillId="0" borderId="0"/>
    <xf numFmtId="1" fontId="89" fillId="0" borderId="0"/>
    <xf numFmtId="1" fontId="90" fillId="0" borderId="0"/>
    <xf numFmtId="1" fontId="90" fillId="0" borderId="0"/>
    <xf numFmtId="1" fontId="90" fillId="0" borderId="0"/>
    <xf numFmtId="1" fontId="90" fillId="0" borderId="0"/>
    <xf numFmtId="191" fontId="91" fillId="0" borderId="0" applyFont="0" applyFill="0" applyBorder="0" applyAlignment="0" applyProtection="0"/>
    <xf numFmtId="38" fontId="92" fillId="0" borderId="0" applyFont="0" applyFill="0" applyBorder="0" applyAlignment="0" applyProtection="0"/>
    <xf numFmtId="0" fontId="93" fillId="52" borderId="0" applyNumberFormat="0" applyBorder="0" applyAlignment="0" applyProtection="0"/>
    <xf numFmtId="0" fontId="93" fillId="53" borderId="0" applyNumberFormat="0" applyBorder="0" applyAlignment="0" applyProtection="0"/>
    <xf numFmtId="0" fontId="93" fillId="54" borderId="0" applyNumberFormat="0" applyBorder="0" applyAlignment="0" applyProtection="0"/>
    <xf numFmtId="0" fontId="93" fillId="55" borderId="0" applyNumberFormat="0" applyBorder="0" applyAlignment="0" applyProtection="0"/>
    <xf numFmtId="0" fontId="93" fillId="56" borderId="0" applyNumberFormat="0" applyBorder="0" applyAlignment="0" applyProtection="0"/>
    <xf numFmtId="0" fontId="17"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7"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7"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188" fontId="94" fillId="57" borderId="0" applyNumberFormat="0" applyBorder="0" applyAlignment="0" applyProtection="0"/>
    <xf numFmtId="0" fontId="17" fillId="29"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94" fillId="57" borderId="0" applyNumberFormat="0" applyBorder="0" applyAlignment="0" applyProtection="0"/>
    <xf numFmtId="0" fontId="10" fillId="52" borderId="0" applyNumberFormat="0" applyBorder="0" applyAlignment="0" applyProtection="0"/>
    <xf numFmtId="0" fontId="17" fillId="29"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94" fillId="57" borderId="0" applyNumberFormat="0" applyBorder="0" applyAlignment="0" applyProtection="0"/>
    <xf numFmtId="0" fontId="10" fillId="52" borderId="0" applyNumberFormat="0" applyBorder="0" applyAlignment="0" applyProtection="0"/>
    <xf numFmtId="0" fontId="94" fillId="57" borderId="0" applyNumberFormat="0" applyBorder="0" applyAlignment="0" applyProtection="0"/>
    <xf numFmtId="0" fontId="10" fillId="52" borderId="0" applyNumberFormat="0" applyBorder="0" applyAlignment="0" applyProtection="0"/>
    <xf numFmtId="0" fontId="94" fillId="57" borderId="0" applyNumberFormat="0" applyBorder="0" applyAlignment="0" applyProtection="0"/>
    <xf numFmtId="0" fontId="10" fillId="52" borderId="0" applyNumberFormat="0" applyBorder="0" applyAlignment="0" applyProtection="0"/>
    <xf numFmtId="0" fontId="94" fillId="57" borderId="0" applyNumberFormat="0" applyBorder="0" applyAlignment="0" applyProtection="0"/>
    <xf numFmtId="0" fontId="94" fillId="57" borderId="0" applyNumberFormat="0" applyBorder="0" applyAlignment="0" applyProtection="0"/>
    <xf numFmtId="0" fontId="94" fillId="57" borderId="0" applyNumberFormat="0" applyBorder="0" applyAlignment="0" applyProtection="0"/>
    <xf numFmtId="0" fontId="94" fillId="57" borderId="0" applyNumberFormat="0" applyBorder="0" applyAlignment="0" applyProtection="0"/>
    <xf numFmtId="0" fontId="94" fillId="57" borderId="0" applyNumberFormat="0" applyBorder="0" applyAlignment="0" applyProtection="0"/>
    <xf numFmtId="0" fontId="94" fillId="57" borderId="0" applyNumberFormat="0" applyBorder="0" applyAlignment="0" applyProtection="0"/>
    <xf numFmtId="0" fontId="94" fillId="57" borderId="0" applyNumberFormat="0" applyBorder="0" applyAlignment="0" applyProtection="0"/>
    <xf numFmtId="0" fontId="17" fillId="29"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94" fillId="57"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188" fontId="94" fillId="57" borderId="0" applyNumberFormat="0" applyBorder="0" applyAlignment="0" applyProtection="0"/>
    <xf numFmtId="0" fontId="17" fillId="29" borderId="0" applyNumberFormat="0" applyBorder="0" applyAlignment="0" applyProtection="0"/>
    <xf numFmtId="0" fontId="94" fillId="57" borderId="0" applyNumberFormat="0" applyBorder="0" applyAlignment="0" applyProtection="0"/>
    <xf numFmtId="0" fontId="17" fillId="29" borderId="0" applyNumberFormat="0" applyBorder="0" applyAlignment="0" applyProtection="0"/>
    <xf numFmtId="0" fontId="94" fillId="57" borderId="0" applyNumberFormat="0" applyBorder="0" applyAlignment="0" applyProtection="0"/>
    <xf numFmtId="0" fontId="17" fillId="29" borderId="0" applyNumberFormat="0" applyBorder="0" applyAlignment="0" applyProtection="0"/>
    <xf numFmtId="0" fontId="94" fillId="57" borderId="0" applyNumberFormat="0" applyBorder="0" applyAlignment="0" applyProtection="0"/>
    <xf numFmtId="0" fontId="94" fillId="57" borderId="0" applyNumberFormat="0" applyBorder="0" applyAlignment="0" applyProtection="0"/>
    <xf numFmtId="0" fontId="94" fillId="57" borderId="0" applyNumberFormat="0" applyBorder="0" applyAlignment="0" applyProtection="0"/>
    <xf numFmtId="0" fontId="17" fillId="29" borderId="0" applyNumberFormat="0" applyBorder="0" applyAlignment="0" applyProtection="0"/>
    <xf numFmtId="0" fontId="94" fillId="57"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8" fontId="94" fillId="57" borderId="0" applyNumberFormat="0" applyBorder="0" applyAlignment="0" applyProtection="0"/>
    <xf numFmtId="0" fontId="17" fillId="29" borderId="0" applyNumberFormat="0" applyBorder="0" applyAlignment="0" applyProtection="0"/>
    <xf numFmtId="0" fontId="94" fillId="57" borderId="0" applyNumberFormat="0" applyBorder="0" applyAlignment="0" applyProtection="0"/>
    <xf numFmtId="0" fontId="17" fillId="29" borderId="0" applyNumberFormat="0" applyBorder="0" applyAlignment="0" applyProtection="0"/>
    <xf numFmtId="0" fontId="94" fillId="57" borderId="0" applyNumberFormat="0" applyBorder="0" applyAlignment="0" applyProtection="0"/>
    <xf numFmtId="0" fontId="17" fillId="29" borderId="0" applyNumberFormat="0" applyBorder="0" applyAlignment="0" applyProtection="0"/>
    <xf numFmtId="0" fontId="94" fillId="57" borderId="0" applyNumberFormat="0" applyBorder="0" applyAlignment="0" applyProtection="0"/>
    <xf numFmtId="0" fontId="94" fillId="57" borderId="0" applyNumberFormat="0" applyBorder="0" applyAlignment="0" applyProtection="0"/>
    <xf numFmtId="0" fontId="94" fillId="57" borderId="0" applyNumberFormat="0" applyBorder="0" applyAlignment="0" applyProtection="0"/>
    <xf numFmtId="0" fontId="17" fillId="29" borderId="0" applyNumberFormat="0" applyBorder="0" applyAlignment="0" applyProtection="0"/>
    <xf numFmtId="0" fontId="94" fillId="57"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7"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7"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7"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7"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7"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7"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7"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188" fontId="94" fillId="58"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7" fillId="3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94" fillId="58" borderId="0" applyNumberFormat="0" applyBorder="0" applyAlignment="0" applyProtection="0"/>
    <xf numFmtId="0" fontId="10" fillId="53" borderId="0" applyNumberFormat="0" applyBorder="0" applyAlignment="0" applyProtection="0"/>
    <xf numFmtId="0" fontId="17" fillId="3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94" fillId="58" borderId="0" applyNumberFormat="0" applyBorder="0" applyAlignment="0" applyProtection="0"/>
    <xf numFmtId="0" fontId="10" fillId="53" borderId="0" applyNumberFormat="0" applyBorder="0" applyAlignment="0" applyProtection="0"/>
    <xf numFmtId="0" fontId="94" fillId="58" borderId="0" applyNumberFormat="0" applyBorder="0" applyAlignment="0" applyProtection="0"/>
    <xf numFmtId="0" fontId="10" fillId="53" borderId="0" applyNumberFormat="0" applyBorder="0" applyAlignment="0" applyProtection="0"/>
    <xf numFmtId="0" fontId="94" fillId="58" borderId="0" applyNumberFormat="0" applyBorder="0" applyAlignment="0" applyProtection="0"/>
    <xf numFmtId="0" fontId="10" fillId="53"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17" fillId="3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188" fontId="94" fillId="58" borderId="0" applyNumberFormat="0" applyBorder="0" applyAlignment="0" applyProtection="0"/>
    <xf numFmtId="0" fontId="17" fillId="33" borderId="0" applyNumberFormat="0" applyBorder="0" applyAlignment="0" applyProtection="0"/>
    <xf numFmtId="0" fontId="94" fillId="58" borderId="0" applyNumberFormat="0" applyBorder="0" applyAlignment="0" applyProtection="0"/>
    <xf numFmtId="0" fontId="17" fillId="33" borderId="0" applyNumberFormat="0" applyBorder="0" applyAlignment="0" applyProtection="0"/>
    <xf numFmtId="0" fontId="94" fillId="58" borderId="0" applyNumberFormat="0" applyBorder="0" applyAlignment="0" applyProtection="0"/>
    <xf numFmtId="0" fontId="17" fillId="33"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17" fillId="33" borderId="0" applyNumberFormat="0" applyBorder="0" applyAlignment="0" applyProtection="0"/>
    <xf numFmtId="0" fontId="94" fillId="58"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8" fontId="94" fillId="58" borderId="0" applyNumberFormat="0" applyBorder="0" applyAlignment="0" applyProtection="0"/>
    <xf numFmtId="0" fontId="17" fillId="33" borderId="0" applyNumberFormat="0" applyBorder="0" applyAlignment="0" applyProtection="0"/>
    <xf numFmtId="0" fontId="94" fillId="58" borderId="0" applyNumberFormat="0" applyBorder="0" applyAlignment="0" applyProtection="0"/>
    <xf numFmtId="0" fontId="17" fillId="33" borderId="0" applyNumberFormat="0" applyBorder="0" applyAlignment="0" applyProtection="0"/>
    <xf numFmtId="0" fontId="94" fillId="58" borderId="0" applyNumberFormat="0" applyBorder="0" applyAlignment="0" applyProtection="0"/>
    <xf numFmtId="0" fontId="17" fillId="33"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17" fillId="33" borderId="0" applyNumberFormat="0" applyBorder="0" applyAlignment="0" applyProtection="0"/>
    <xf numFmtId="0" fontId="94" fillId="58"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7"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7"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7"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7"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7"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17"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17"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188" fontId="94" fillId="59"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7" fillId="37"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94" fillId="59" borderId="0" applyNumberFormat="0" applyBorder="0" applyAlignment="0" applyProtection="0"/>
    <xf numFmtId="0" fontId="10" fillId="54" borderId="0" applyNumberFormat="0" applyBorder="0" applyAlignment="0" applyProtection="0"/>
    <xf numFmtId="0" fontId="17" fillId="37"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94" fillId="59" borderId="0" applyNumberFormat="0" applyBorder="0" applyAlignment="0" applyProtection="0"/>
    <xf numFmtId="0" fontId="10" fillId="54" borderId="0" applyNumberFormat="0" applyBorder="0" applyAlignment="0" applyProtection="0"/>
    <xf numFmtId="0" fontId="94" fillId="59" borderId="0" applyNumberFormat="0" applyBorder="0" applyAlignment="0" applyProtection="0"/>
    <xf numFmtId="0" fontId="10" fillId="54" borderId="0" applyNumberFormat="0" applyBorder="0" applyAlignment="0" applyProtection="0"/>
    <xf numFmtId="0" fontId="94" fillId="59" borderId="0" applyNumberFormat="0" applyBorder="0" applyAlignment="0" applyProtection="0"/>
    <xf numFmtId="0" fontId="10" fillId="54" borderId="0" applyNumberFormat="0" applyBorder="0" applyAlignment="0" applyProtection="0"/>
    <xf numFmtId="0" fontId="94" fillId="59" borderId="0" applyNumberFormat="0" applyBorder="0" applyAlignment="0" applyProtection="0"/>
    <xf numFmtId="0" fontId="94" fillId="59" borderId="0" applyNumberFormat="0" applyBorder="0" applyAlignment="0" applyProtection="0"/>
    <xf numFmtId="0" fontId="94" fillId="59" borderId="0" applyNumberFormat="0" applyBorder="0" applyAlignment="0" applyProtection="0"/>
    <xf numFmtId="0" fontId="94" fillId="59" borderId="0" applyNumberFormat="0" applyBorder="0" applyAlignment="0" applyProtection="0"/>
    <xf numFmtId="0" fontId="94" fillId="59" borderId="0" applyNumberFormat="0" applyBorder="0" applyAlignment="0" applyProtection="0"/>
    <xf numFmtId="0" fontId="94" fillId="59" borderId="0" applyNumberFormat="0" applyBorder="0" applyAlignment="0" applyProtection="0"/>
    <xf numFmtId="0" fontId="94" fillId="59" borderId="0" applyNumberFormat="0" applyBorder="0" applyAlignment="0" applyProtection="0"/>
    <xf numFmtId="0" fontId="17" fillId="37"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94" fillId="59" borderId="0" applyNumberFormat="0" applyBorder="0" applyAlignment="0" applyProtection="0"/>
    <xf numFmtId="0" fontId="94" fillId="59" borderId="0" applyNumberFormat="0" applyBorder="0" applyAlignment="0" applyProtection="0"/>
    <xf numFmtId="0" fontId="94" fillId="59" borderId="0" applyNumberFormat="0" applyBorder="0" applyAlignment="0" applyProtection="0"/>
    <xf numFmtId="0" fontId="94" fillId="59" borderId="0" applyNumberFormat="0" applyBorder="0" applyAlignment="0" applyProtection="0"/>
    <xf numFmtId="0" fontId="94" fillId="59" borderId="0" applyNumberFormat="0" applyBorder="0" applyAlignment="0" applyProtection="0"/>
    <xf numFmtId="0" fontId="94" fillId="59" borderId="0" applyNumberFormat="0" applyBorder="0" applyAlignment="0" applyProtection="0"/>
    <xf numFmtId="0" fontId="94" fillId="59" borderId="0" applyNumberFormat="0" applyBorder="0" applyAlignment="0" applyProtection="0"/>
    <xf numFmtId="0" fontId="94" fillId="59" borderId="0" applyNumberFormat="0" applyBorder="0" applyAlignment="0" applyProtection="0"/>
    <xf numFmtId="0" fontId="94" fillId="59"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188" fontId="94" fillId="59" borderId="0" applyNumberFormat="0" applyBorder="0" applyAlignment="0" applyProtection="0"/>
    <xf numFmtId="0" fontId="17" fillId="37" borderId="0" applyNumberFormat="0" applyBorder="0" applyAlignment="0" applyProtection="0"/>
    <xf numFmtId="0" fontId="94" fillId="59" borderId="0" applyNumberFormat="0" applyBorder="0" applyAlignment="0" applyProtection="0"/>
    <xf numFmtId="0" fontId="17" fillId="37" borderId="0" applyNumberFormat="0" applyBorder="0" applyAlignment="0" applyProtection="0"/>
    <xf numFmtId="0" fontId="94" fillId="59" borderId="0" applyNumberFormat="0" applyBorder="0" applyAlignment="0" applyProtection="0"/>
    <xf numFmtId="0" fontId="17" fillId="37" borderId="0" applyNumberFormat="0" applyBorder="0" applyAlignment="0" applyProtection="0"/>
    <xf numFmtId="0" fontId="94" fillId="59" borderId="0" applyNumberFormat="0" applyBorder="0" applyAlignment="0" applyProtection="0"/>
    <xf numFmtId="0" fontId="94" fillId="59" borderId="0" applyNumberFormat="0" applyBorder="0" applyAlignment="0" applyProtection="0"/>
    <xf numFmtId="0" fontId="94" fillId="59" borderId="0" applyNumberFormat="0" applyBorder="0" applyAlignment="0" applyProtection="0"/>
    <xf numFmtId="0" fontId="17" fillId="37" borderId="0" applyNumberFormat="0" applyBorder="0" applyAlignment="0" applyProtection="0"/>
    <xf numFmtId="0" fontId="94" fillId="59"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188" fontId="94" fillId="59" borderId="0" applyNumberFormat="0" applyBorder="0" applyAlignment="0" applyProtection="0"/>
    <xf numFmtId="0" fontId="17" fillId="37" borderId="0" applyNumberFormat="0" applyBorder="0" applyAlignment="0" applyProtection="0"/>
    <xf numFmtId="0" fontId="94" fillId="59" borderId="0" applyNumberFormat="0" applyBorder="0" applyAlignment="0" applyProtection="0"/>
    <xf numFmtId="0" fontId="17" fillId="37" borderId="0" applyNumberFormat="0" applyBorder="0" applyAlignment="0" applyProtection="0"/>
    <xf numFmtId="0" fontId="94" fillId="59" borderId="0" applyNumberFormat="0" applyBorder="0" applyAlignment="0" applyProtection="0"/>
    <xf numFmtId="0" fontId="17" fillId="37" borderId="0" applyNumberFormat="0" applyBorder="0" applyAlignment="0" applyProtection="0"/>
    <xf numFmtId="0" fontId="94" fillId="59" borderId="0" applyNumberFormat="0" applyBorder="0" applyAlignment="0" applyProtection="0"/>
    <xf numFmtId="0" fontId="94" fillId="59" borderId="0" applyNumberFormat="0" applyBorder="0" applyAlignment="0" applyProtection="0"/>
    <xf numFmtId="0" fontId="94" fillId="59" borderId="0" applyNumberFormat="0" applyBorder="0" applyAlignment="0" applyProtection="0"/>
    <xf numFmtId="0" fontId="17" fillId="37" borderId="0" applyNumberFormat="0" applyBorder="0" applyAlignment="0" applyProtection="0"/>
    <xf numFmtId="0" fontId="94" fillId="59"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17"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17"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17"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17"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17"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17"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17"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17" fillId="41" borderId="0" applyNumberFormat="0" applyBorder="0" applyAlignment="0" applyProtection="0"/>
    <xf numFmtId="0" fontId="17" fillId="41" borderId="0" applyNumberFormat="0" applyBorder="0" applyAlignment="0" applyProtection="0"/>
    <xf numFmtId="0" fontId="17" fillId="41" borderId="0" applyNumberFormat="0" applyBorder="0" applyAlignment="0" applyProtection="0"/>
    <xf numFmtId="0" fontId="17" fillId="41" borderId="0" applyNumberFormat="0" applyBorder="0" applyAlignment="0" applyProtection="0"/>
    <xf numFmtId="0" fontId="17" fillId="41" borderId="0" applyNumberFormat="0" applyBorder="0" applyAlignment="0" applyProtection="0"/>
    <xf numFmtId="0" fontId="17" fillId="41" borderId="0" applyNumberFormat="0" applyBorder="0" applyAlignment="0" applyProtection="0"/>
    <xf numFmtId="0" fontId="17" fillId="41" borderId="0" applyNumberFormat="0" applyBorder="0" applyAlignment="0" applyProtection="0"/>
    <xf numFmtId="188" fontId="94" fillId="57"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7" fillId="41"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94" fillId="57" borderId="0" applyNumberFormat="0" applyBorder="0" applyAlignment="0" applyProtection="0"/>
    <xf numFmtId="0" fontId="10" fillId="55" borderId="0" applyNumberFormat="0" applyBorder="0" applyAlignment="0" applyProtection="0"/>
    <xf numFmtId="0" fontId="17" fillId="41"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94" fillId="57" borderId="0" applyNumberFormat="0" applyBorder="0" applyAlignment="0" applyProtection="0"/>
    <xf numFmtId="0" fontId="10" fillId="55" borderId="0" applyNumberFormat="0" applyBorder="0" applyAlignment="0" applyProtection="0"/>
    <xf numFmtId="0" fontId="94" fillId="57" borderId="0" applyNumberFormat="0" applyBorder="0" applyAlignment="0" applyProtection="0"/>
    <xf numFmtId="0" fontId="10" fillId="55" borderId="0" applyNumberFormat="0" applyBorder="0" applyAlignment="0" applyProtection="0"/>
    <xf numFmtId="0" fontId="94" fillId="57" borderId="0" applyNumberFormat="0" applyBorder="0" applyAlignment="0" applyProtection="0"/>
    <xf numFmtId="0" fontId="10" fillId="55" borderId="0" applyNumberFormat="0" applyBorder="0" applyAlignment="0" applyProtection="0"/>
    <xf numFmtId="0" fontId="94" fillId="57" borderId="0" applyNumberFormat="0" applyBorder="0" applyAlignment="0" applyProtection="0"/>
    <xf numFmtId="0" fontId="94" fillId="57" borderId="0" applyNumberFormat="0" applyBorder="0" applyAlignment="0" applyProtection="0"/>
    <xf numFmtId="0" fontId="94" fillId="57" borderId="0" applyNumberFormat="0" applyBorder="0" applyAlignment="0" applyProtection="0"/>
    <xf numFmtId="0" fontId="94" fillId="57" borderId="0" applyNumberFormat="0" applyBorder="0" applyAlignment="0" applyProtection="0"/>
    <xf numFmtId="0" fontId="94" fillId="57" borderId="0" applyNumberFormat="0" applyBorder="0" applyAlignment="0" applyProtection="0"/>
    <xf numFmtId="0" fontId="94" fillId="57" borderId="0" applyNumberFormat="0" applyBorder="0" applyAlignment="0" applyProtection="0"/>
    <xf numFmtId="0" fontId="94" fillId="57" borderId="0" applyNumberFormat="0" applyBorder="0" applyAlignment="0" applyProtection="0"/>
    <xf numFmtId="0" fontId="17" fillId="41"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94" fillId="57" borderId="0" applyNumberFormat="0" applyBorder="0" applyAlignment="0" applyProtection="0"/>
    <xf numFmtId="0" fontId="94" fillId="57" borderId="0" applyNumberFormat="0" applyBorder="0" applyAlignment="0" applyProtection="0"/>
    <xf numFmtId="0" fontId="94" fillId="57" borderId="0" applyNumberFormat="0" applyBorder="0" applyAlignment="0" applyProtection="0"/>
    <xf numFmtId="0" fontId="94" fillId="57" borderId="0" applyNumberFormat="0" applyBorder="0" applyAlignment="0" applyProtection="0"/>
    <xf numFmtId="0" fontId="94" fillId="57" borderId="0" applyNumberFormat="0" applyBorder="0" applyAlignment="0" applyProtection="0"/>
    <xf numFmtId="0" fontId="94" fillId="57" borderId="0" applyNumberFormat="0" applyBorder="0" applyAlignment="0" applyProtection="0"/>
    <xf numFmtId="0" fontId="94" fillId="57" borderId="0" applyNumberFormat="0" applyBorder="0" applyAlignment="0" applyProtection="0"/>
    <xf numFmtId="0" fontId="94" fillId="57" borderId="0" applyNumberFormat="0" applyBorder="0" applyAlignment="0" applyProtection="0"/>
    <xf numFmtId="0" fontId="94" fillId="57"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7" fillId="41" borderId="0" applyNumberFormat="0" applyBorder="0" applyAlignment="0" applyProtection="0"/>
    <xf numFmtId="0" fontId="17" fillId="41" borderId="0" applyNumberFormat="0" applyBorder="0" applyAlignment="0" applyProtection="0"/>
    <xf numFmtId="0" fontId="17" fillId="41" borderId="0" applyNumberFormat="0" applyBorder="0" applyAlignment="0" applyProtection="0"/>
    <xf numFmtId="0" fontId="17" fillId="41" borderId="0" applyNumberFormat="0" applyBorder="0" applyAlignment="0" applyProtection="0"/>
    <xf numFmtId="0" fontId="17" fillId="41" borderId="0" applyNumberFormat="0" applyBorder="0" applyAlignment="0" applyProtection="0"/>
    <xf numFmtId="0" fontId="17" fillId="41" borderId="0" applyNumberFormat="0" applyBorder="0" applyAlignment="0" applyProtection="0"/>
    <xf numFmtId="0" fontId="17" fillId="41" borderId="0" applyNumberFormat="0" applyBorder="0" applyAlignment="0" applyProtection="0"/>
    <xf numFmtId="0" fontId="17" fillId="41" borderId="0" applyNumberFormat="0" applyBorder="0" applyAlignment="0" applyProtection="0"/>
    <xf numFmtId="0" fontId="17" fillId="41" borderId="0" applyNumberFormat="0" applyBorder="0" applyAlignment="0" applyProtection="0"/>
    <xf numFmtId="0" fontId="17" fillId="41" borderId="0" applyNumberFormat="0" applyBorder="0" applyAlignment="0" applyProtection="0"/>
    <xf numFmtId="188" fontId="94" fillId="57" borderId="0" applyNumberFormat="0" applyBorder="0" applyAlignment="0" applyProtection="0"/>
    <xf numFmtId="0" fontId="17" fillId="41" borderId="0" applyNumberFormat="0" applyBorder="0" applyAlignment="0" applyProtection="0"/>
    <xf numFmtId="0" fontId="94" fillId="57" borderId="0" applyNumberFormat="0" applyBorder="0" applyAlignment="0" applyProtection="0"/>
    <xf numFmtId="0" fontId="17" fillId="41" borderId="0" applyNumberFormat="0" applyBorder="0" applyAlignment="0" applyProtection="0"/>
    <xf numFmtId="0" fontId="94" fillId="57" borderId="0" applyNumberFormat="0" applyBorder="0" applyAlignment="0" applyProtection="0"/>
    <xf numFmtId="0" fontId="17" fillId="41" borderId="0" applyNumberFormat="0" applyBorder="0" applyAlignment="0" applyProtection="0"/>
    <xf numFmtId="0" fontId="94" fillId="57" borderId="0" applyNumberFormat="0" applyBorder="0" applyAlignment="0" applyProtection="0"/>
    <xf numFmtId="0" fontId="94" fillId="57" borderId="0" applyNumberFormat="0" applyBorder="0" applyAlignment="0" applyProtection="0"/>
    <xf numFmtId="0" fontId="94" fillId="57" borderId="0" applyNumberFormat="0" applyBorder="0" applyAlignment="0" applyProtection="0"/>
    <xf numFmtId="0" fontId="17" fillId="41" borderId="0" applyNumberFormat="0" applyBorder="0" applyAlignment="0" applyProtection="0"/>
    <xf numFmtId="0" fontId="94" fillId="57"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188" fontId="94" fillId="57" borderId="0" applyNumberFormat="0" applyBorder="0" applyAlignment="0" applyProtection="0"/>
    <xf numFmtId="0" fontId="17" fillId="41" borderId="0" applyNumberFormat="0" applyBorder="0" applyAlignment="0" applyProtection="0"/>
    <xf numFmtId="0" fontId="94" fillId="57" borderId="0" applyNumberFormat="0" applyBorder="0" applyAlignment="0" applyProtection="0"/>
    <xf numFmtId="0" fontId="17" fillId="41" borderId="0" applyNumberFormat="0" applyBorder="0" applyAlignment="0" applyProtection="0"/>
    <xf numFmtId="0" fontId="94" fillId="57" borderId="0" applyNumberFormat="0" applyBorder="0" applyAlignment="0" applyProtection="0"/>
    <xf numFmtId="0" fontId="17" fillId="41" borderId="0" applyNumberFormat="0" applyBorder="0" applyAlignment="0" applyProtection="0"/>
    <xf numFmtId="0" fontId="94" fillId="57" borderId="0" applyNumberFormat="0" applyBorder="0" applyAlignment="0" applyProtection="0"/>
    <xf numFmtId="0" fontId="94" fillId="57" borderId="0" applyNumberFormat="0" applyBorder="0" applyAlignment="0" applyProtection="0"/>
    <xf numFmtId="0" fontId="94" fillId="57" borderId="0" applyNumberFormat="0" applyBorder="0" applyAlignment="0" applyProtection="0"/>
    <xf numFmtId="0" fontId="17" fillId="41" borderId="0" applyNumberFormat="0" applyBorder="0" applyAlignment="0" applyProtection="0"/>
    <xf numFmtId="0" fontId="94" fillId="57"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17" fillId="41" borderId="0" applyNumberFormat="0" applyBorder="0" applyAlignment="0" applyProtection="0"/>
    <xf numFmtId="0" fontId="17" fillId="41" borderId="0" applyNumberFormat="0" applyBorder="0" applyAlignment="0" applyProtection="0"/>
    <xf numFmtId="0" fontId="17"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17"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17"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17"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17"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17"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17"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17"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188" fontId="94"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7" fillId="45"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94" fillId="56" borderId="0" applyNumberFormat="0" applyBorder="0" applyAlignment="0" applyProtection="0"/>
    <xf numFmtId="0" fontId="10" fillId="56" borderId="0" applyNumberFormat="0" applyBorder="0" applyAlignment="0" applyProtection="0"/>
    <xf numFmtId="0" fontId="17" fillId="45"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94" fillId="56" borderId="0" applyNumberFormat="0" applyBorder="0" applyAlignment="0" applyProtection="0"/>
    <xf numFmtId="0" fontId="10" fillId="56" borderId="0" applyNumberFormat="0" applyBorder="0" applyAlignment="0" applyProtection="0"/>
    <xf numFmtId="0" fontId="94" fillId="56" borderId="0" applyNumberFormat="0" applyBorder="0" applyAlignment="0" applyProtection="0"/>
    <xf numFmtId="0" fontId="10" fillId="56" borderId="0" applyNumberFormat="0" applyBorder="0" applyAlignment="0" applyProtection="0"/>
    <xf numFmtId="0" fontId="94" fillId="56" borderId="0" applyNumberFormat="0" applyBorder="0" applyAlignment="0" applyProtection="0"/>
    <xf numFmtId="0" fontId="10" fillId="56" borderId="0" applyNumberFormat="0" applyBorder="0" applyAlignment="0" applyProtection="0"/>
    <xf numFmtId="0" fontId="94" fillId="56" borderId="0" applyNumberFormat="0" applyBorder="0" applyAlignment="0" applyProtection="0"/>
    <xf numFmtId="0" fontId="94" fillId="56" borderId="0" applyNumberFormat="0" applyBorder="0" applyAlignment="0" applyProtection="0"/>
    <xf numFmtId="0" fontId="94" fillId="56" borderId="0" applyNumberFormat="0" applyBorder="0" applyAlignment="0" applyProtection="0"/>
    <xf numFmtId="0" fontId="94" fillId="56" borderId="0" applyNumberFormat="0" applyBorder="0" applyAlignment="0" applyProtection="0"/>
    <xf numFmtId="0" fontId="94" fillId="56" borderId="0" applyNumberFormat="0" applyBorder="0" applyAlignment="0" applyProtection="0"/>
    <xf numFmtId="0" fontId="94" fillId="56" borderId="0" applyNumberFormat="0" applyBorder="0" applyAlignment="0" applyProtection="0"/>
    <xf numFmtId="0" fontId="94" fillId="56" borderId="0" applyNumberFormat="0" applyBorder="0" applyAlignment="0" applyProtection="0"/>
    <xf numFmtId="0" fontId="17" fillId="45"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94" fillId="56" borderId="0" applyNumberFormat="0" applyBorder="0" applyAlignment="0" applyProtection="0"/>
    <xf numFmtId="0" fontId="94" fillId="56" borderId="0" applyNumberFormat="0" applyBorder="0" applyAlignment="0" applyProtection="0"/>
    <xf numFmtId="0" fontId="94" fillId="56" borderId="0" applyNumberFormat="0" applyBorder="0" applyAlignment="0" applyProtection="0"/>
    <xf numFmtId="0" fontId="94" fillId="56" borderId="0" applyNumberFormat="0" applyBorder="0" applyAlignment="0" applyProtection="0"/>
    <xf numFmtId="0" fontId="94" fillId="56" borderId="0" applyNumberFormat="0" applyBorder="0" applyAlignment="0" applyProtection="0"/>
    <xf numFmtId="0" fontId="94" fillId="56" borderId="0" applyNumberFormat="0" applyBorder="0" applyAlignment="0" applyProtection="0"/>
    <xf numFmtId="0" fontId="94" fillId="56" borderId="0" applyNumberFormat="0" applyBorder="0" applyAlignment="0" applyProtection="0"/>
    <xf numFmtId="0" fontId="94" fillId="56" borderId="0" applyNumberFormat="0" applyBorder="0" applyAlignment="0" applyProtection="0"/>
    <xf numFmtId="0" fontId="94"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188" fontId="94" fillId="56" borderId="0" applyNumberFormat="0" applyBorder="0" applyAlignment="0" applyProtection="0"/>
    <xf numFmtId="0" fontId="17" fillId="45" borderId="0" applyNumberFormat="0" applyBorder="0" applyAlignment="0" applyProtection="0"/>
    <xf numFmtId="0" fontId="94" fillId="56" borderId="0" applyNumberFormat="0" applyBorder="0" applyAlignment="0" applyProtection="0"/>
    <xf numFmtId="0" fontId="17" fillId="45" borderId="0" applyNumberFormat="0" applyBorder="0" applyAlignment="0" applyProtection="0"/>
    <xf numFmtId="0" fontId="94" fillId="56" borderId="0" applyNumberFormat="0" applyBorder="0" applyAlignment="0" applyProtection="0"/>
    <xf numFmtId="0" fontId="17" fillId="45" borderId="0" applyNumberFormat="0" applyBorder="0" applyAlignment="0" applyProtection="0"/>
    <xf numFmtId="0" fontId="94" fillId="56" borderId="0" applyNumberFormat="0" applyBorder="0" applyAlignment="0" applyProtection="0"/>
    <xf numFmtId="0" fontId="94" fillId="56" borderId="0" applyNumberFormat="0" applyBorder="0" applyAlignment="0" applyProtection="0"/>
    <xf numFmtId="0" fontId="94" fillId="56" borderId="0" applyNumberFormat="0" applyBorder="0" applyAlignment="0" applyProtection="0"/>
    <xf numFmtId="0" fontId="17" fillId="45" borderId="0" applyNumberFormat="0" applyBorder="0" applyAlignment="0" applyProtection="0"/>
    <xf numFmtId="0" fontId="94" fillId="56"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188" fontId="94" fillId="56" borderId="0" applyNumberFormat="0" applyBorder="0" applyAlignment="0" applyProtection="0"/>
    <xf numFmtId="0" fontId="17" fillId="45" borderId="0" applyNumberFormat="0" applyBorder="0" applyAlignment="0" applyProtection="0"/>
    <xf numFmtId="0" fontId="94" fillId="56" borderId="0" applyNumberFormat="0" applyBorder="0" applyAlignment="0" applyProtection="0"/>
    <xf numFmtId="0" fontId="17" fillId="45" borderId="0" applyNumberFormat="0" applyBorder="0" applyAlignment="0" applyProtection="0"/>
    <xf numFmtId="0" fontId="94" fillId="56" borderId="0" applyNumberFormat="0" applyBorder="0" applyAlignment="0" applyProtection="0"/>
    <xf numFmtId="0" fontId="17" fillId="45" borderId="0" applyNumberFormat="0" applyBorder="0" applyAlignment="0" applyProtection="0"/>
    <xf numFmtId="0" fontId="94" fillId="56" borderId="0" applyNumberFormat="0" applyBorder="0" applyAlignment="0" applyProtection="0"/>
    <xf numFmtId="0" fontId="94" fillId="56" borderId="0" applyNumberFormat="0" applyBorder="0" applyAlignment="0" applyProtection="0"/>
    <xf numFmtId="0" fontId="94" fillId="56" borderId="0" applyNumberFormat="0" applyBorder="0" applyAlignment="0" applyProtection="0"/>
    <xf numFmtId="0" fontId="17" fillId="45" borderId="0" applyNumberFormat="0" applyBorder="0" applyAlignment="0" applyProtection="0"/>
    <xf numFmtId="0" fontId="94" fillId="56"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17"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17"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17"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17"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17"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17"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17"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188" fontId="94"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7" fillId="49"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94" fillId="58" borderId="0" applyNumberFormat="0" applyBorder="0" applyAlignment="0" applyProtection="0"/>
    <xf numFmtId="0" fontId="10" fillId="58" borderId="0" applyNumberFormat="0" applyBorder="0" applyAlignment="0" applyProtection="0"/>
    <xf numFmtId="0" fontId="17" fillId="49"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94" fillId="58" borderId="0" applyNumberFormat="0" applyBorder="0" applyAlignment="0" applyProtection="0"/>
    <xf numFmtId="0" fontId="10" fillId="58" borderId="0" applyNumberFormat="0" applyBorder="0" applyAlignment="0" applyProtection="0"/>
    <xf numFmtId="0" fontId="94" fillId="58" borderId="0" applyNumberFormat="0" applyBorder="0" applyAlignment="0" applyProtection="0"/>
    <xf numFmtId="0" fontId="10" fillId="58" borderId="0" applyNumberFormat="0" applyBorder="0" applyAlignment="0" applyProtection="0"/>
    <xf numFmtId="0" fontId="94" fillId="58" borderId="0" applyNumberFormat="0" applyBorder="0" applyAlignment="0" applyProtection="0"/>
    <xf numFmtId="0" fontId="10"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17" fillId="49"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188" fontId="94" fillId="58" borderId="0" applyNumberFormat="0" applyBorder="0" applyAlignment="0" applyProtection="0"/>
    <xf numFmtId="0" fontId="17" fillId="49" borderId="0" applyNumberFormat="0" applyBorder="0" applyAlignment="0" applyProtection="0"/>
    <xf numFmtId="0" fontId="94" fillId="58" borderId="0" applyNumberFormat="0" applyBorder="0" applyAlignment="0" applyProtection="0"/>
    <xf numFmtId="0" fontId="17" fillId="49" borderId="0" applyNumberFormat="0" applyBorder="0" applyAlignment="0" applyProtection="0"/>
    <xf numFmtId="0" fontId="94" fillId="58" borderId="0" applyNumberFormat="0" applyBorder="0" applyAlignment="0" applyProtection="0"/>
    <xf numFmtId="0" fontId="17" fillId="49"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17" fillId="49" borderId="0" applyNumberFormat="0" applyBorder="0" applyAlignment="0" applyProtection="0"/>
    <xf numFmtId="0" fontId="94" fillId="58"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188" fontId="94" fillId="58" borderId="0" applyNumberFormat="0" applyBorder="0" applyAlignment="0" applyProtection="0"/>
    <xf numFmtId="0" fontId="17" fillId="49" borderId="0" applyNumberFormat="0" applyBorder="0" applyAlignment="0" applyProtection="0"/>
    <xf numFmtId="0" fontId="94" fillId="58" borderId="0" applyNumberFormat="0" applyBorder="0" applyAlignment="0" applyProtection="0"/>
    <xf numFmtId="0" fontId="17" fillId="49" borderId="0" applyNumberFormat="0" applyBorder="0" applyAlignment="0" applyProtection="0"/>
    <xf numFmtId="0" fontId="94" fillId="58" borderId="0" applyNumberFormat="0" applyBorder="0" applyAlignment="0" applyProtection="0"/>
    <xf numFmtId="0" fontId="17" fillId="49"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17" fillId="49" borderId="0" applyNumberFormat="0" applyBorder="0" applyAlignment="0" applyProtection="0"/>
    <xf numFmtId="0" fontId="94" fillId="58"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17"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17"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17"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17"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17"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17"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17"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188" fontId="94" fillId="60"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7" fillId="30"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94" fillId="60" borderId="0" applyNumberFormat="0" applyBorder="0" applyAlignment="0" applyProtection="0"/>
    <xf numFmtId="0" fontId="10" fillId="61" borderId="0" applyNumberFormat="0" applyBorder="0" applyAlignment="0" applyProtection="0"/>
    <xf numFmtId="0" fontId="17" fillId="30"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94" fillId="60" borderId="0" applyNumberFormat="0" applyBorder="0" applyAlignment="0" applyProtection="0"/>
    <xf numFmtId="0" fontId="10" fillId="61" borderId="0" applyNumberFormat="0" applyBorder="0" applyAlignment="0" applyProtection="0"/>
    <xf numFmtId="0" fontId="94" fillId="60" borderId="0" applyNumberFormat="0" applyBorder="0" applyAlignment="0" applyProtection="0"/>
    <xf numFmtId="0" fontId="10" fillId="61" borderId="0" applyNumberFormat="0" applyBorder="0" applyAlignment="0" applyProtection="0"/>
    <xf numFmtId="0" fontId="94" fillId="60" borderId="0" applyNumberFormat="0" applyBorder="0" applyAlignment="0" applyProtection="0"/>
    <xf numFmtId="0" fontId="10" fillId="61"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17" fillId="30"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188" fontId="94" fillId="60" borderId="0" applyNumberFormat="0" applyBorder="0" applyAlignment="0" applyProtection="0"/>
    <xf numFmtId="0" fontId="17" fillId="30" borderId="0" applyNumberFormat="0" applyBorder="0" applyAlignment="0" applyProtection="0"/>
    <xf numFmtId="0" fontId="94" fillId="60" borderId="0" applyNumberFormat="0" applyBorder="0" applyAlignment="0" applyProtection="0"/>
    <xf numFmtId="0" fontId="17" fillId="30" borderId="0" applyNumberFormat="0" applyBorder="0" applyAlignment="0" applyProtection="0"/>
    <xf numFmtId="0" fontId="94" fillId="60" borderId="0" applyNumberFormat="0" applyBorder="0" applyAlignment="0" applyProtection="0"/>
    <xf numFmtId="0" fontId="17" fillId="3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17" fillId="30" borderId="0" applyNumberFormat="0" applyBorder="0" applyAlignment="0" applyProtection="0"/>
    <xf numFmtId="0" fontId="94" fillId="6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8" fontId="94" fillId="60" borderId="0" applyNumberFormat="0" applyBorder="0" applyAlignment="0" applyProtection="0"/>
    <xf numFmtId="0" fontId="17" fillId="30" borderId="0" applyNumberFormat="0" applyBorder="0" applyAlignment="0" applyProtection="0"/>
    <xf numFmtId="0" fontId="94" fillId="60" borderId="0" applyNumberFormat="0" applyBorder="0" applyAlignment="0" applyProtection="0"/>
    <xf numFmtId="0" fontId="17" fillId="30" borderId="0" applyNumberFormat="0" applyBorder="0" applyAlignment="0" applyProtection="0"/>
    <xf numFmtId="0" fontId="94" fillId="60" borderId="0" applyNumberFormat="0" applyBorder="0" applyAlignment="0" applyProtection="0"/>
    <xf numFmtId="0" fontId="17" fillId="3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17" fillId="30" borderId="0" applyNumberFormat="0" applyBorder="0" applyAlignment="0" applyProtection="0"/>
    <xf numFmtId="0" fontId="94" fillId="6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17"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17"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17"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17"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17"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17"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17"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17" fillId="34" borderId="0" applyNumberFormat="0" applyBorder="0" applyAlignment="0" applyProtection="0"/>
    <xf numFmtId="0" fontId="17" fillId="34" borderId="0" applyNumberFormat="0" applyBorder="0" applyAlignment="0" applyProtection="0"/>
    <xf numFmtId="0" fontId="17" fillId="34" borderId="0" applyNumberFormat="0" applyBorder="0" applyAlignment="0" applyProtection="0"/>
    <xf numFmtId="0" fontId="17" fillId="34" borderId="0" applyNumberFormat="0" applyBorder="0" applyAlignment="0" applyProtection="0"/>
    <xf numFmtId="0" fontId="17" fillId="34" borderId="0" applyNumberFormat="0" applyBorder="0" applyAlignment="0" applyProtection="0"/>
    <xf numFmtId="0" fontId="17" fillId="34" borderId="0" applyNumberFormat="0" applyBorder="0" applyAlignment="0" applyProtection="0"/>
    <xf numFmtId="0" fontId="17" fillId="34" borderId="0" applyNumberFormat="0" applyBorder="0" applyAlignment="0" applyProtection="0"/>
    <xf numFmtId="188" fontId="94"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7" fillId="34"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94" fillId="62" borderId="0" applyNumberFormat="0" applyBorder="0" applyAlignment="0" applyProtection="0"/>
    <xf numFmtId="0" fontId="10" fillId="62" borderId="0" applyNumberFormat="0" applyBorder="0" applyAlignment="0" applyProtection="0"/>
    <xf numFmtId="0" fontId="17" fillId="34"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94" fillId="62" borderId="0" applyNumberFormat="0" applyBorder="0" applyAlignment="0" applyProtection="0"/>
    <xf numFmtId="0" fontId="10" fillId="62" borderId="0" applyNumberFormat="0" applyBorder="0" applyAlignment="0" applyProtection="0"/>
    <xf numFmtId="0" fontId="94" fillId="62" borderId="0" applyNumberFormat="0" applyBorder="0" applyAlignment="0" applyProtection="0"/>
    <xf numFmtId="0" fontId="10" fillId="62" borderId="0" applyNumberFormat="0" applyBorder="0" applyAlignment="0" applyProtection="0"/>
    <xf numFmtId="0" fontId="94" fillId="62" borderId="0" applyNumberFormat="0" applyBorder="0" applyAlignment="0" applyProtection="0"/>
    <xf numFmtId="0" fontId="10"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17" fillId="34"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7" fillId="34" borderId="0" applyNumberFormat="0" applyBorder="0" applyAlignment="0" applyProtection="0"/>
    <xf numFmtId="0" fontId="17" fillId="34" borderId="0" applyNumberFormat="0" applyBorder="0" applyAlignment="0" applyProtection="0"/>
    <xf numFmtId="0" fontId="17" fillId="34" borderId="0" applyNumberFormat="0" applyBorder="0" applyAlignment="0" applyProtection="0"/>
    <xf numFmtId="0" fontId="17" fillId="34" borderId="0" applyNumberFormat="0" applyBorder="0" applyAlignment="0" applyProtection="0"/>
    <xf numFmtId="0" fontId="17" fillId="34" borderId="0" applyNumberFormat="0" applyBorder="0" applyAlignment="0" applyProtection="0"/>
    <xf numFmtId="0" fontId="17" fillId="34" borderId="0" applyNumberFormat="0" applyBorder="0" applyAlignment="0" applyProtection="0"/>
    <xf numFmtId="0" fontId="17" fillId="34" borderId="0" applyNumberFormat="0" applyBorder="0" applyAlignment="0" applyProtection="0"/>
    <xf numFmtId="0" fontId="17" fillId="34" borderId="0" applyNumberFormat="0" applyBorder="0" applyAlignment="0" applyProtection="0"/>
    <xf numFmtId="0" fontId="17" fillId="34" borderId="0" applyNumberFormat="0" applyBorder="0" applyAlignment="0" applyProtection="0"/>
    <xf numFmtId="0" fontId="17" fillId="34" borderId="0" applyNumberFormat="0" applyBorder="0" applyAlignment="0" applyProtection="0"/>
    <xf numFmtId="188" fontId="94" fillId="62" borderId="0" applyNumberFormat="0" applyBorder="0" applyAlignment="0" applyProtection="0"/>
    <xf numFmtId="0" fontId="17" fillId="34" borderId="0" applyNumberFormat="0" applyBorder="0" applyAlignment="0" applyProtection="0"/>
    <xf numFmtId="0" fontId="94" fillId="62" borderId="0" applyNumberFormat="0" applyBorder="0" applyAlignment="0" applyProtection="0"/>
    <xf numFmtId="0" fontId="17" fillId="34" borderId="0" applyNumberFormat="0" applyBorder="0" applyAlignment="0" applyProtection="0"/>
    <xf numFmtId="0" fontId="94" fillId="62" borderId="0" applyNumberFormat="0" applyBorder="0" applyAlignment="0" applyProtection="0"/>
    <xf numFmtId="0" fontId="17" fillId="34"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17" fillId="34" borderId="0" applyNumberFormat="0" applyBorder="0" applyAlignment="0" applyProtection="0"/>
    <xf numFmtId="0" fontId="94" fillId="62"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8" fontId="94" fillId="62" borderId="0" applyNumberFormat="0" applyBorder="0" applyAlignment="0" applyProtection="0"/>
    <xf numFmtId="0" fontId="17" fillId="34" borderId="0" applyNumberFormat="0" applyBorder="0" applyAlignment="0" applyProtection="0"/>
    <xf numFmtId="0" fontId="94" fillId="62" borderId="0" applyNumberFormat="0" applyBorder="0" applyAlignment="0" applyProtection="0"/>
    <xf numFmtId="0" fontId="17" fillId="34" borderId="0" applyNumberFormat="0" applyBorder="0" applyAlignment="0" applyProtection="0"/>
    <xf numFmtId="0" fontId="94" fillId="62" borderId="0" applyNumberFormat="0" applyBorder="0" applyAlignment="0" applyProtection="0"/>
    <xf numFmtId="0" fontId="17" fillId="34"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17" fillId="34" borderId="0" applyNumberFormat="0" applyBorder="0" applyAlignment="0" applyProtection="0"/>
    <xf numFmtId="0" fontId="94" fillId="62"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17" fillId="34" borderId="0" applyNumberFormat="0" applyBorder="0" applyAlignment="0" applyProtection="0"/>
    <xf numFmtId="0" fontId="17" fillId="34" borderId="0" applyNumberFormat="0" applyBorder="0" applyAlignment="0" applyProtection="0"/>
    <xf numFmtId="0" fontId="17"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17"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17"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17"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17"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17"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17"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17"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188" fontId="94" fillId="63"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7" fillId="38"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94" fillId="63" borderId="0" applyNumberFormat="0" applyBorder="0" applyAlignment="0" applyProtection="0"/>
    <xf numFmtId="0" fontId="10" fillId="64" borderId="0" applyNumberFormat="0" applyBorder="0" applyAlignment="0" applyProtection="0"/>
    <xf numFmtId="0" fontId="17" fillId="38"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94" fillId="63" borderId="0" applyNumberFormat="0" applyBorder="0" applyAlignment="0" applyProtection="0"/>
    <xf numFmtId="0" fontId="10" fillId="64" borderId="0" applyNumberFormat="0" applyBorder="0" applyAlignment="0" applyProtection="0"/>
    <xf numFmtId="0" fontId="94" fillId="63" borderId="0" applyNumberFormat="0" applyBorder="0" applyAlignment="0" applyProtection="0"/>
    <xf numFmtId="0" fontId="10" fillId="64" borderId="0" applyNumberFormat="0" applyBorder="0" applyAlignment="0" applyProtection="0"/>
    <xf numFmtId="0" fontId="94" fillId="63" borderId="0" applyNumberFormat="0" applyBorder="0" applyAlignment="0" applyProtection="0"/>
    <xf numFmtId="0" fontId="10" fillId="64" borderId="0" applyNumberFormat="0" applyBorder="0" applyAlignment="0" applyProtection="0"/>
    <xf numFmtId="0" fontId="94" fillId="63" borderId="0" applyNumberFormat="0" applyBorder="0" applyAlignment="0" applyProtection="0"/>
    <xf numFmtId="0" fontId="94" fillId="63" borderId="0" applyNumberFormat="0" applyBorder="0" applyAlignment="0" applyProtection="0"/>
    <xf numFmtId="0" fontId="94" fillId="63" borderId="0" applyNumberFormat="0" applyBorder="0" applyAlignment="0" applyProtection="0"/>
    <xf numFmtId="0" fontId="94" fillId="63" borderId="0" applyNumberFormat="0" applyBorder="0" applyAlignment="0" applyProtection="0"/>
    <xf numFmtId="0" fontId="94" fillId="63" borderId="0" applyNumberFormat="0" applyBorder="0" applyAlignment="0" applyProtection="0"/>
    <xf numFmtId="0" fontId="94" fillId="63" borderId="0" applyNumberFormat="0" applyBorder="0" applyAlignment="0" applyProtection="0"/>
    <xf numFmtId="0" fontId="94" fillId="63" borderId="0" applyNumberFormat="0" applyBorder="0" applyAlignment="0" applyProtection="0"/>
    <xf numFmtId="0" fontId="17" fillId="38"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94" fillId="63" borderId="0" applyNumberFormat="0" applyBorder="0" applyAlignment="0" applyProtection="0"/>
    <xf numFmtId="0" fontId="94" fillId="63" borderId="0" applyNumberFormat="0" applyBorder="0" applyAlignment="0" applyProtection="0"/>
    <xf numFmtId="0" fontId="94" fillId="63" borderId="0" applyNumberFormat="0" applyBorder="0" applyAlignment="0" applyProtection="0"/>
    <xf numFmtId="0" fontId="94" fillId="63" borderId="0" applyNumberFormat="0" applyBorder="0" applyAlignment="0" applyProtection="0"/>
    <xf numFmtId="0" fontId="94" fillId="63" borderId="0" applyNumberFormat="0" applyBorder="0" applyAlignment="0" applyProtection="0"/>
    <xf numFmtId="0" fontId="94" fillId="63" borderId="0" applyNumberFormat="0" applyBorder="0" applyAlignment="0" applyProtection="0"/>
    <xf numFmtId="0" fontId="94" fillId="63" borderId="0" applyNumberFormat="0" applyBorder="0" applyAlignment="0" applyProtection="0"/>
    <xf numFmtId="0" fontId="94" fillId="63" borderId="0" applyNumberFormat="0" applyBorder="0" applyAlignment="0" applyProtection="0"/>
    <xf numFmtId="0" fontId="94" fillId="63"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188" fontId="94" fillId="63" borderId="0" applyNumberFormat="0" applyBorder="0" applyAlignment="0" applyProtection="0"/>
    <xf numFmtId="0" fontId="17" fillId="38" borderId="0" applyNumberFormat="0" applyBorder="0" applyAlignment="0" applyProtection="0"/>
    <xf numFmtId="0" fontId="94" fillId="63" borderId="0" applyNumberFormat="0" applyBorder="0" applyAlignment="0" applyProtection="0"/>
    <xf numFmtId="0" fontId="17" fillId="38" borderId="0" applyNumberFormat="0" applyBorder="0" applyAlignment="0" applyProtection="0"/>
    <xf numFmtId="0" fontId="94" fillId="63" borderId="0" applyNumberFormat="0" applyBorder="0" applyAlignment="0" applyProtection="0"/>
    <xf numFmtId="0" fontId="17" fillId="38" borderId="0" applyNumberFormat="0" applyBorder="0" applyAlignment="0" applyProtection="0"/>
    <xf numFmtId="0" fontId="94" fillId="63" borderId="0" applyNumberFormat="0" applyBorder="0" applyAlignment="0" applyProtection="0"/>
    <xf numFmtId="0" fontId="94" fillId="63" borderId="0" applyNumberFormat="0" applyBorder="0" applyAlignment="0" applyProtection="0"/>
    <xf numFmtId="0" fontId="94" fillId="63" borderId="0" applyNumberFormat="0" applyBorder="0" applyAlignment="0" applyProtection="0"/>
    <xf numFmtId="0" fontId="17" fillId="38" borderId="0" applyNumberFormat="0" applyBorder="0" applyAlignment="0" applyProtection="0"/>
    <xf numFmtId="0" fontId="94" fillId="63"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188" fontId="94" fillId="63" borderId="0" applyNumberFormat="0" applyBorder="0" applyAlignment="0" applyProtection="0"/>
    <xf numFmtId="0" fontId="17" fillId="38" borderId="0" applyNumberFormat="0" applyBorder="0" applyAlignment="0" applyProtection="0"/>
    <xf numFmtId="0" fontId="94" fillId="63" borderId="0" applyNumberFormat="0" applyBorder="0" applyAlignment="0" applyProtection="0"/>
    <xf numFmtId="0" fontId="17" fillId="38" borderId="0" applyNumberFormat="0" applyBorder="0" applyAlignment="0" applyProtection="0"/>
    <xf numFmtId="0" fontId="94" fillId="63" borderId="0" applyNumberFormat="0" applyBorder="0" applyAlignment="0" applyProtection="0"/>
    <xf numFmtId="0" fontId="17" fillId="38" borderId="0" applyNumberFormat="0" applyBorder="0" applyAlignment="0" applyProtection="0"/>
    <xf numFmtId="0" fontId="94" fillId="63" borderId="0" applyNumberFormat="0" applyBorder="0" applyAlignment="0" applyProtection="0"/>
    <xf numFmtId="0" fontId="94" fillId="63" borderId="0" applyNumberFormat="0" applyBorder="0" applyAlignment="0" applyProtection="0"/>
    <xf numFmtId="0" fontId="94" fillId="63" borderId="0" applyNumberFormat="0" applyBorder="0" applyAlignment="0" applyProtection="0"/>
    <xf numFmtId="0" fontId="17" fillId="38" borderId="0" applyNumberFormat="0" applyBorder="0" applyAlignment="0" applyProtection="0"/>
    <xf numFmtId="0" fontId="94" fillId="63"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17"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17"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17"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17"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17"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17"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17"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188" fontId="94" fillId="60"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7" fillId="42"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94" fillId="60" borderId="0" applyNumberFormat="0" applyBorder="0" applyAlignment="0" applyProtection="0"/>
    <xf numFmtId="0" fontId="10" fillId="55" borderId="0" applyNumberFormat="0" applyBorder="0" applyAlignment="0" applyProtection="0"/>
    <xf numFmtId="0" fontId="17" fillId="42"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94" fillId="60" borderId="0" applyNumberFormat="0" applyBorder="0" applyAlignment="0" applyProtection="0"/>
    <xf numFmtId="0" fontId="10" fillId="55" borderId="0" applyNumberFormat="0" applyBorder="0" applyAlignment="0" applyProtection="0"/>
    <xf numFmtId="0" fontId="94" fillId="60" borderId="0" applyNumberFormat="0" applyBorder="0" applyAlignment="0" applyProtection="0"/>
    <xf numFmtId="0" fontId="10" fillId="55" borderId="0" applyNumberFormat="0" applyBorder="0" applyAlignment="0" applyProtection="0"/>
    <xf numFmtId="0" fontId="94" fillId="60" borderId="0" applyNumberFormat="0" applyBorder="0" applyAlignment="0" applyProtection="0"/>
    <xf numFmtId="0" fontId="10" fillId="55"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17" fillId="42"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0" fillId="55"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188" fontId="94" fillId="60" borderId="0" applyNumberFormat="0" applyBorder="0" applyAlignment="0" applyProtection="0"/>
    <xf numFmtId="0" fontId="17" fillId="42" borderId="0" applyNumberFormat="0" applyBorder="0" applyAlignment="0" applyProtection="0"/>
    <xf numFmtId="0" fontId="94" fillId="60" borderId="0" applyNumberFormat="0" applyBorder="0" applyAlignment="0" applyProtection="0"/>
    <xf numFmtId="0" fontId="17" fillId="42" borderId="0" applyNumberFormat="0" applyBorder="0" applyAlignment="0" applyProtection="0"/>
    <xf numFmtId="0" fontId="94" fillId="60" borderId="0" applyNumberFormat="0" applyBorder="0" applyAlignment="0" applyProtection="0"/>
    <xf numFmtId="0" fontId="17" fillId="42"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17" fillId="42" borderId="0" applyNumberFormat="0" applyBorder="0" applyAlignment="0" applyProtection="0"/>
    <xf numFmtId="0" fontId="94" fillId="60"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188" fontId="94" fillId="60" borderId="0" applyNumberFormat="0" applyBorder="0" applyAlignment="0" applyProtection="0"/>
    <xf numFmtId="0" fontId="17" fillId="42" borderId="0" applyNumberFormat="0" applyBorder="0" applyAlignment="0" applyProtection="0"/>
    <xf numFmtId="0" fontId="94" fillId="60" borderId="0" applyNumberFormat="0" applyBorder="0" applyAlignment="0" applyProtection="0"/>
    <xf numFmtId="0" fontId="17" fillId="42" borderId="0" applyNumberFormat="0" applyBorder="0" applyAlignment="0" applyProtection="0"/>
    <xf numFmtId="0" fontId="94" fillId="60" borderId="0" applyNumberFormat="0" applyBorder="0" applyAlignment="0" applyProtection="0"/>
    <xf numFmtId="0" fontId="17" fillId="42"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17" fillId="42" borderId="0" applyNumberFormat="0" applyBorder="0" applyAlignment="0" applyProtection="0"/>
    <xf numFmtId="0" fontId="94" fillId="60"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17"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17"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17"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17"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17"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17"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17"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17" fillId="46" borderId="0" applyNumberFormat="0" applyBorder="0" applyAlignment="0" applyProtection="0"/>
    <xf numFmtId="0" fontId="17" fillId="46" borderId="0" applyNumberFormat="0" applyBorder="0" applyAlignment="0" applyProtection="0"/>
    <xf numFmtId="0" fontId="17" fillId="46" borderId="0" applyNumberFormat="0" applyBorder="0" applyAlignment="0" applyProtection="0"/>
    <xf numFmtId="0" fontId="17" fillId="46" borderId="0" applyNumberFormat="0" applyBorder="0" applyAlignment="0" applyProtection="0"/>
    <xf numFmtId="0" fontId="17" fillId="46" borderId="0" applyNumberFormat="0" applyBorder="0" applyAlignment="0" applyProtection="0"/>
    <xf numFmtId="0" fontId="17" fillId="46" borderId="0" applyNumberFormat="0" applyBorder="0" applyAlignment="0" applyProtection="0"/>
    <xf numFmtId="0" fontId="17" fillId="46" borderId="0" applyNumberFormat="0" applyBorder="0" applyAlignment="0" applyProtection="0"/>
    <xf numFmtId="188" fontId="94"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7" fillId="46"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94" fillId="61" borderId="0" applyNumberFormat="0" applyBorder="0" applyAlignment="0" applyProtection="0"/>
    <xf numFmtId="0" fontId="10" fillId="61" borderId="0" applyNumberFormat="0" applyBorder="0" applyAlignment="0" applyProtection="0"/>
    <xf numFmtId="0" fontId="17" fillId="46"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94" fillId="61" borderId="0" applyNumberFormat="0" applyBorder="0" applyAlignment="0" applyProtection="0"/>
    <xf numFmtId="0" fontId="10" fillId="61" borderId="0" applyNumberFormat="0" applyBorder="0" applyAlignment="0" applyProtection="0"/>
    <xf numFmtId="0" fontId="94" fillId="61" borderId="0" applyNumberFormat="0" applyBorder="0" applyAlignment="0" applyProtection="0"/>
    <xf numFmtId="0" fontId="10" fillId="61" borderId="0" applyNumberFormat="0" applyBorder="0" applyAlignment="0" applyProtection="0"/>
    <xf numFmtId="0" fontId="94" fillId="61" borderId="0" applyNumberFormat="0" applyBorder="0" applyAlignment="0" applyProtection="0"/>
    <xf numFmtId="0" fontId="10" fillId="61" borderId="0" applyNumberFormat="0" applyBorder="0" applyAlignment="0" applyProtection="0"/>
    <xf numFmtId="0" fontId="94" fillId="61" borderId="0" applyNumberFormat="0" applyBorder="0" applyAlignment="0" applyProtection="0"/>
    <xf numFmtId="0" fontId="94" fillId="61" borderId="0" applyNumberFormat="0" applyBorder="0" applyAlignment="0" applyProtection="0"/>
    <xf numFmtId="0" fontId="94" fillId="61" borderId="0" applyNumberFormat="0" applyBorder="0" applyAlignment="0" applyProtection="0"/>
    <xf numFmtId="0" fontId="94" fillId="61" borderId="0" applyNumberFormat="0" applyBorder="0" applyAlignment="0" applyProtection="0"/>
    <xf numFmtId="0" fontId="94" fillId="61" borderId="0" applyNumberFormat="0" applyBorder="0" applyAlignment="0" applyProtection="0"/>
    <xf numFmtId="0" fontId="94" fillId="61" borderId="0" applyNumberFormat="0" applyBorder="0" applyAlignment="0" applyProtection="0"/>
    <xf numFmtId="0" fontId="94" fillId="61" borderId="0" applyNumberFormat="0" applyBorder="0" applyAlignment="0" applyProtection="0"/>
    <xf numFmtId="0" fontId="17" fillId="46"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94" fillId="61" borderId="0" applyNumberFormat="0" applyBorder="0" applyAlignment="0" applyProtection="0"/>
    <xf numFmtId="0" fontId="94" fillId="61" borderId="0" applyNumberFormat="0" applyBorder="0" applyAlignment="0" applyProtection="0"/>
    <xf numFmtId="0" fontId="94" fillId="61" borderId="0" applyNumberFormat="0" applyBorder="0" applyAlignment="0" applyProtection="0"/>
    <xf numFmtId="0" fontId="94" fillId="61" borderId="0" applyNumberFormat="0" applyBorder="0" applyAlignment="0" applyProtection="0"/>
    <xf numFmtId="0" fontId="94" fillId="61" borderId="0" applyNumberFormat="0" applyBorder="0" applyAlignment="0" applyProtection="0"/>
    <xf numFmtId="0" fontId="94" fillId="61" borderId="0" applyNumberFormat="0" applyBorder="0" applyAlignment="0" applyProtection="0"/>
    <xf numFmtId="0" fontId="94" fillId="61" borderId="0" applyNumberFormat="0" applyBorder="0" applyAlignment="0" applyProtection="0"/>
    <xf numFmtId="0" fontId="94" fillId="61" borderId="0" applyNumberFormat="0" applyBorder="0" applyAlignment="0" applyProtection="0"/>
    <xf numFmtId="0" fontId="94"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0" fillId="61" borderId="0" applyNumberFormat="0" applyBorder="0" applyAlignment="0" applyProtection="0"/>
    <xf numFmtId="0" fontId="17" fillId="46" borderId="0" applyNumberFormat="0" applyBorder="0" applyAlignment="0" applyProtection="0"/>
    <xf numFmtId="0" fontId="17" fillId="46" borderId="0" applyNumberFormat="0" applyBorder="0" applyAlignment="0" applyProtection="0"/>
    <xf numFmtId="0" fontId="17" fillId="46" borderId="0" applyNumberFormat="0" applyBorder="0" applyAlignment="0" applyProtection="0"/>
    <xf numFmtId="0" fontId="17" fillId="46" borderId="0" applyNumberFormat="0" applyBorder="0" applyAlignment="0" applyProtection="0"/>
    <xf numFmtId="0" fontId="17" fillId="46" borderId="0" applyNumberFormat="0" applyBorder="0" applyAlignment="0" applyProtection="0"/>
    <xf numFmtId="0" fontId="17" fillId="46" borderId="0" applyNumberFormat="0" applyBorder="0" applyAlignment="0" applyProtection="0"/>
    <xf numFmtId="0" fontId="17" fillId="46" borderId="0" applyNumberFormat="0" applyBorder="0" applyAlignment="0" applyProtection="0"/>
    <xf numFmtId="0" fontId="17" fillId="46" borderId="0" applyNumberFormat="0" applyBorder="0" applyAlignment="0" applyProtection="0"/>
    <xf numFmtId="0" fontId="17" fillId="46" borderId="0" applyNumberFormat="0" applyBorder="0" applyAlignment="0" applyProtection="0"/>
    <xf numFmtId="0" fontId="17" fillId="46" borderId="0" applyNumberFormat="0" applyBorder="0" applyAlignment="0" applyProtection="0"/>
    <xf numFmtId="188" fontId="94" fillId="61" borderId="0" applyNumberFormat="0" applyBorder="0" applyAlignment="0" applyProtection="0"/>
    <xf numFmtId="0" fontId="17" fillId="46" borderId="0" applyNumberFormat="0" applyBorder="0" applyAlignment="0" applyProtection="0"/>
    <xf numFmtId="0" fontId="94" fillId="61" borderId="0" applyNumberFormat="0" applyBorder="0" applyAlignment="0" applyProtection="0"/>
    <xf numFmtId="0" fontId="17" fillId="46" borderId="0" applyNumberFormat="0" applyBorder="0" applyAlignment="0" applyProtection="0"/>
    <xf numFmtId="0" fontId="94" fillId="61" borderId="0" applyNumberFormat="0" applyBorder="0" applyAlignment="0" applyProtection="0"/>
    <xf numFmtId="0" fontId="17" fillId="46" borderId="0" applyNumberFormat="0" applyBorder="0" applyAlignment="0" applyProtection="0"/>
    <xf numFmtId="0" fontId="94" fillId="61" borderId="0" applyNumberFormat="0" applyBorder="0" applyAlignment="0" applyProtection="0"/>
    <xf numFmtId="0" fontId="94" fillId="61" borderId="0" applyNumberFormat="0" applyBorder="0" applyAlignment="0" applyProtection="0"/>
    <xf numFmtId="0" fontId="94" fillId="61" borderId="0" applyNumberFormat="0" applyBorder="0" applyAlignment="0" applyProtection="0"/>
    <xf numFmtId="0" fontId="17" fillId="46" borderId="0" applyNumberFormat="0" applyBorder="0" applyAlignment="0" applyProtection="0"/>
    <xf numFmtId="0" fontId="94" fillId="61"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188" fontId="94" fillId="61" borderId="0" applyNumberFormat="0" applyBorder="0" applyAlignment="0" applyProtection="0"/>
    <xf numFmtId="0" fontId="17" fillId="46" borderId="0" applyNumberFormat="0" applyBorder="0" applyAlignment="0" applyProtection="0"/>
    <xf numFmtId="0" fontId="94" fillId="61" borderId="0" applyNumberFormat="0" applyBorder="0" applyAlignment="0" applyProtection="0"/>
    <xf numFmtId="0" fontId="17" fillId="46" borderId="0" applyNumberFormat="0" applyBorder="0" applyAlignment="0" applyProtection="0"/>
    <xf numFmtId="0" fontId="94" fillId="61" borderId="0" applyNumberFormat="0" applyBorder="0" applyAlignment="0" applyProtection="0"/>
    <xf numFmtId="0" fontId="17" fillId="46" borderId="0" applyNumberFormat="0" applyBorder="0" applyAlignment="0" applyProtection="0"/>
    <xf numFmtId="0" fontId="94" fillId="61" borderId="0" applyNumberFormat="0" applyBorder="0" applyAlignment="0" applyProtection="0"/>
    <xf numFmtId="0" fontId="94" fillId="61" borderId="0" applyNumberFormat="0" applyBorder="0" applyAlignment="0" applyProtection="0"/>
    <xf numFmtId="0" fontId="94" fillId="61" borderId="0" applyNumberFormat="0" applyBorder="0" applyAlignment="0" applyProtection="0"/>
    <xf numFmtId="0" fontId="17" fillId="46" borderId="0" applyNumberFormat="0" applyBorder="0" applyAlignment="0" applyProtection="0"/>
    <xf numFmtId="0" fontId="94" fillId="61"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17" fillId="46" borderId="0" applyNumberFormat="0" applyBorder="0" applyAlignment="0" applyProtection="0"/>
    <xf numFmtId="0" fontId="17" fillId="46" borderId="0" applyNumberFormat="0" applyBorder="0" applyAlignment="0" applyProtection="0"/>
    <xf numFmtId="0" fontId="17"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17"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17"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17"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17"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17"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17"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17"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17" fillId="50" borderId="0" applyNumberFormat="0" applyBorder="0" applyAlignment="0" applyProtection="0"/>
    <xf numFmtId="0" fontId="17" fillId="50" borderId="0" applyNumberFormat="0" applyBorder="0" applyAlignment="0" applyProtection="0"/>
    <xf numFmtId="0" fontId="17" fillId="50" borderId="0" applyNumberFormat="0" applyBorder="0" applyAlignment="0" applyProtection="0"/>
    <xf numFmtId="0" fontId="17" fillId="50" borderId="0" applyNumberFormat="0" applyBorder="0" applyAlignment="0" applyProtection="0"/>
    <xf numFmtId="0" fontId="17" fillId="50" borderId="0" applyNumberFormat="0" applyBorder="0" applyAlignment="0" applyProtection="0"/>
    <xf numFmtId="0" fontId="17" fillId="50" borderId="0" applyNumberFormat="0" applyBorder="0" applyAlignment="0" applyProtection="0"/>
    <xf numFmtId="0" fontId="17" fillId="50" borderId="0" applyNumberFormat="0" applyBorder="0" applyAlignment="0" applyProtection="0"/>
    <xf numFmtId="188" fontId="94" fillId="58"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7" fillId="50"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94" fillId="58" borderId="0" applyNumberFormat="0" applyBorder="0" applyAlignment="0" applyProtection="0"/>
    <xf numFmtId="0" fontId="10" fillId="65" borderId="0" applyNumberFormat="0" applyBorder="0" applyAlignment="0" applyProtection="0"/>
    <xf numFmtId="0" fontId="17" fillId="50"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94" fillId="58" borderId="0" applyNumberFormat="0" applyBorder="0" applyAlignment="0" applyProtection="0"/>
    <xf numFmtId="0" fontId="10" fillId="65" borderId="0" applyNumberFormat="0" applyBorder="0" applyAlignment="0" applyProtection="0"/>
    <xf numFmtId="0" fontId="94" fillId="58" borderId="0" applyNumberFormat="0" applyBorder="0" applyAlignment="0" applyProtection="0"/>
    <xf numFmtId="0" fontId="10" fillId="65" borderId="0" applyNumberFormat="0" applyBorder="0" applyAlignment="0" applyProtection="0"/>
    <xf numFmtId="0" fontId="94" fillId="58" borderId="0" applyNumberFormat="0" applyBorder="0" applyAlignment="0" applyProtection="0"/>
    <xf numFmtId="0" fontId="10" fillId="65"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17" fillId="50"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0" fillId="65" borderId="0" applyNumberFormat="0" applyBorder="0" applyAlignment="0" applyProtection="0"/>
    <xf numFmtId="0" fontId="17" fillId="50" borderId="0" applyNumberFormat="0" applyBorder="0" applyAlignment="0" applyProtection="0"/>
    <xf numFmtId="0" fontId="17" fillId="50" borderId="0" applyNumberFormat="0" applyBorder="0" applyAlignment="0" applyProtection="0"/>
    <xf numFmtId="0" fontId="17" fillId="50" borderId="0" applyNumberFormat="0" applyBorder="0" applyAlignment="0" applyProtection="0"/>
    <xf numFmtId="0" fontId="17" fillId="50" borderId="0" applyNumberFormat="0" applyBorder="0" applyAlignment="0" applyProtection="0"/>
    <xf numFmtId="0" fontId="17" fillId="50" borderId="0" applyNumberFormat="0" applyBorder="0" applyAlignment="0" applyProtection="0"/>
    <xf numFmtId="0" fontId="17" fillId="50" borderId="0" applyNumberFormat="0" applyBorder="0" applyAlignment="0" applyProtection="0"/>
    <xf numFmtId="0" fontId="17" fillId="50" borderId="0" applyNumberFormat="0" applyBorder="0" applyAlignment="0" applyProtection="0"/>
    <xf numFmtId="0" fontId="17" fillId="50" borderId="0" applyNumberFormat="0" applyBorder="0" applyAlignment="0" applyProtection="0"/>
    <xf numFmtId="0" fontId="17" fillId="50" borderId="0" applyNumberFormat="0" applyBorder="0" applyAlignment="0" applyProtection="0"/>
    <xf numFmtId="0" fontId="17" fillId="50" borderId="0" applyNumberFormat="0" applyBorder="0" applyAlignment="0" applyProtection="0"/>
    <xf numFmtId="188" fontId="94" fillId="58" borderId="0" applyNumberFormat="0" applyBorder="0" applyAlignment="0" applyProtection="0"/>
    <xf numFmtId="0" fontId="17" fillId="50" borderId="0" applyNumberFormat="0" applyBorder="0" applyAlignment="0" applyProtection="0"/>
    <xf numFmtId="0" fontId="94" fillId="58" borderId="0" applyNumberFormat="0" applyBorder="0" applyAlignment="0" applyProtection="0"/>
    <xf numFmtId="0" fontId="17" fillId="50" borderId="0" applyNumberFormat="0" applyBorder="0" applyAlignment="0" applyProtection="0"/>
    <xf numFmtId="0" fontId="94" fillId="58" borderId="0" applyNumberFormat="0" applyBorder="0" applyAlignment="0" applyProtection="0"/>
    <xf numFmtId="0" fontId="17" fillId="50"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17" fillId="50" borderId="0" applyNumberFormat="0" applyBorder="0" applyAlignment="0" applyProtection="0"/>
    <xf numFmtId="0" fontId="94" fillId="58"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188" fontId="94" fillId="58" borderId="0" applyNumberFormat="0" applyBorder="0" applyAlignment="0" applyProtection="0"/>
    <xf numFmtId="0" fontId="17" fillId="50" borderId="0" applyNumberFormat="0" applyBorder="0" applyAlignment="0" applyProtection="0"/>
    <xf numFmtId="0" fontId="94" fillId="58" borderId="0" applyNumberFormat="0" applyBorder="0" applyAlignment="0" applyProtection="0"/>
    <xf numFmtId="0" fontId="17" fillId="50" borderId="0" applyNumberFormat="0" applyBorder="0" applyAlignment="0" applyProtection="0"/>
    <xf numFmtId="0" fontId="94" fillId="58" borderId="0" applyNumberFormat="0" applyBorder="0" applyAlignment="0" applyProtection="0"/>
    <xf numFmtId="0" fontId="17" fillId="50"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94" fillId="58" borderId="0" applyNumberFormat="0" applyBorder="0" applyAlignment="0" applyProtection="0"/>
    <xf numFmtId="0" fontId="17" fillId="50" borderId="0" applyNumberFormat="0" applyBorder="0" applyAlignment="0" applyProtection="0"/>
    <xf numFmtId="0" fontId="94" fillId="58"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17" fillId="50" borderId="0" applyNumberFormat="0" applyBorder="0" applyAlignment="0" applyProtection="0"/>
    <xf numFmtId="0" fontId="17" fillId="50" borderId="0" applyNumberFormat="0" applyBorder="0" applyAlignment="0" applyProtection="0"/>
    <xf numFmtId="0" fontId="17"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17"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17"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17"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17"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188" fontId="10" fillId="66"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79" fillId="31"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10" fillId="66"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10" fillId="66" borderId="0" applyNumberFormat="0" applyBorder="0" applyAlignment="0" applyProtection="0"/>
    <xf numFmtId="0" fontId="94" fillId="67" borderId="0" applyNumberFormat="0" applyBorder="0" applyAlignment="0" applyProtection="0"/>
    <xf numFmtId="0" fontId="10" fillId="66" borderId="0" applyNumberFormat="0" applyBorder="0" applyAlignment="0" applyProtection="0"/>
    <xf numFmtId="0" fontId="94" fillId="67" borderId="0" applyNumberFormat="0" applyBorder="0" applyAlignment="0" applyProtection="0"/>
    <xf numFmtId="0" fontId="10" fillId="66" borderId="0" applyNumberFormat="0" applyBorder="0" applyAlignment="0" applyProtection="0"/>
    <xf numFmtId="0" fontId="94" fillId="67"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5" fillId="31"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188" fontId="10" fillId="66" borderId="0" applyNumberFormat="0" applyBorder="0" applyAlignment="0" applyProtection="0"/>
    <xf numFmtId="0" fontId="94" fillId="67"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95" fillId="31" borderId="0" applyNumberFormat="0" applyBorder="0" applyAlignment="0" applyProtection="0"/>
    <xf numFmtId="0" fontId="10" fillId="66" borderId="0" applyNumberFormat="0" applyBorder="0" applyAlignment="0" applyProtection="0"/>
    <xf numFmtId="188"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95" fillId="31" borderId="0" applyNumberFormat="0" applyBorder="0" applyAlignment="0" applyProtection="0"/>
    <xf numFmtId="0" fontId="10" fillId="66" borderId="0" applyNumberFormat="0" applyBorder="0" applyAlignment="0" applyProtection="0"/>
    <xf numFmtId="0" fontId="79" fillId="31" borderId="0" applyNumberFormat="0" applyBorder="0" applyAlignment="0" applyProtection="0"/>
    <xf numFmtId="0" fontId="95" fillId="31" borderId="0" applyNumberFormat="0" applyBorder="0" applyAlignment="0" applyProtection="0"/>
    <xf numFmtId="0" fontId="95" fillId="31" borderId="0" applyNumberFormat="0" applyBorder="0" applyAlignment="0" applyProtection="0"/>
    <xf numFmtId="0" fontId="95" fillId="31" borderId="0" applyNumberFormat="0" applyBorder="0" applyAlignment="0" applyProtection="0"/>
    <xf numFmtId="188" fontId="10"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79" fillId="35"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10"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10" fillId="62" borderId="0" applyNumberFormat="0" applyBorder="0" applyAlignment="0" applyProtection="0"/>
    <xf numFmtId="0" fontId="94" fillId="62" borderId="0" applyNumberFormat="0" applyBorder="0" applyAlignment="0" applyProtection="0"/>
    <xf numFmtId="0" fontId="10" fillId="62" borderId="0" applyNumberFormat="0" applyBorder="0" applyAlignment="0" applyProtection="0"/>
    <xf numFmtId="0" fontId="94" fillId="62" borderId="0" applyNumberFormat="0" applyBorder="0" applyAlignment="0" applyProtection="0"/>
    <xf numFmtId="0" fontId="10" fillId="62" borderId="0" applyNumberFormat="0" applyBorder="0" applyAlignment="0" applyProtection="0"/>
    <xf numFmtId="0" fontId="94"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5" fillId="35"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188" fontId="10" fillId="62" borderId="0" applyNumberFormat="0" applyBorder="0" applyAlignment="0" applyProtection="0"/>
    <xf numFmtId="0" fontId="94"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95" fillId="35" borderId="0" applyNumberFormat="0" applyBorder="0" applyAlignment="0" applyProtection="0"/>
    <xf numFmtId="0" fontId="10" fillId="62" borderId="0" applyNumberFormat="0" applyBorder="0" applyAlignment="0" applyProtection="0"/>
    <xf numFmtId="188"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95" fillId="35" borderId="0" applyNumberFormat="0" applyBorder="0" applyAlignment="0" applyProtection="0"/>
    <xf numFmtId="0" fontId="10" fillId="62" borderId="0" applyNumberFormat="0" applyBorder="0" applyAlignment="0" applyProtection="0"/>
    <xf numFmtId="0" fontId="79" fillId="35" borderId="0" applyNumberFormat="0" applyBorder="0" applyAlignment="0" applyProtection="0"/>
    <xf numFmtId="0" fontId="95" fillId="35" borderId="0" applyNumberFormat="0" applyBorder="0" applyAlignment="0" applyProtection="0"/>
    <xf numFmtId="0" fontId="95" fillId="35" borderId="0" applyNumberFormat="0" applyBorder="0" applyAlignment="0" applyProtection="0"/>
    <xf numFmtId="0" fontId="95" fillId="35" borderId="0" applyNumberFormat="0" applyBorder="0" applyAlignment="0" applyProtection="0"/>
    <xf numFmtId="188" fontId="10" fillId="63"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79" fillId="39"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10" fillId="63"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10" fillId="63" borderId="0" applyNumberFormat="0" applyBorder="0" applyAlignment="0" applyProtection="0"/>
    <xf numFmtId="0" fontId="94" fillId="64" borderId="0" applyNumberFormat="0" applyBorder="0" applyAlignment="0" applyProtection="0"/>
    <xf numFmtId="0" fontId="10" fillId="63" borderId="0" applyNumberFormat="0" applyBorder="0" applyAlignment="0" applyProtection="0"/>
    <xf numFmtId="0" fontId="94" fillId="64" borderId="0" applyNumberFormat="0" applyBorder="0" applyAlignment="0" applyProtection="0"/>
    <xf numFmtId="0" fontId="10" fillId="63" borderId="0" applyNumberFormat="0" applyBorder="0" applyAlignment="0" applyProtection="0"/>
    <xf numFmtId="0" fontId="94" fillId="64" borderId="0" applyNumberFormat="0" applyBorder="0" applyAlignment="0" applyProtection="0"/>
    <xf numFmtId="0" fontId="10" fillId="63" borderId="0" applyNumberFormat="0" applyBorder="0" applyAlignment="0" applyProtection="0"/>
    <xf numFmtId="0" fontId="10" fillId="63" borderId="0" applyNumberFormat="0" applyBorder="0" applyAlignment="0" applyProtection="0"/>
    <xf numFmtId="0" fontId="10" fillId="63" borderId="0" applyNumberFormat="0" applyBorder="0" applyAlignment="0" applyProtection="0"/>
    <xf numFmtId="0" fontId="10" fillId="63" borderId="0" applyNumberFormat="0" applyBorder="0" applyAlignment="0" applyProtection="0"/>
    <xf numFmtId="0" fontId="10" fillId="63" borderId="0" applyNumberFormat="0" applyBorder="0" applyAlignment="0" applyProtection="0"/>
    <xf numFmtId="0" fontId="10" fillId="63" borderId="0" applyNumberFormat="0" applyBorder="0" applyAlignment="0" applyProtection="0"/>
    <xf numFmtId="0" fontId="10" fillId="63"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10" fillId="63" borderId="0" applyNumberFormat="0" applyBorder="0" applyAlignment="0" applyProtection="0"/>
    <xf numFmtId="0" fontId="10" fillId="63" borderId="0" applyNumberFormat="0" applyBorder="0" applyAlignment="0" applyProtection="0"/>
    <xf numFmtId="0" fontId="10" fillId="63" borderId="0" applyNumberFormat="0" applyBorder="0" applyAlignment="0" applyProtection="0"/>
    <xf numFmtId="0" fontId="10" fillId="63" borderId="0" applyNumberFormat="0" applyBorder="0" applyAlignment="0" applyProtection="0"/>
    <xf numFmtId="0" fontId="10" fillId="63" borderId="0" applyNumberFormat="0" applyBorder="0" applyAlignment="0" applyProtection="0"/>
    <xf numFmtId="0" fontId="10" fillId="63" borderId="0" applyNumberFormat="0" applyBorder="0" applyAlignment="0" applyProtection="0"/>
    <xf numFmtId="0" fontId="10" fillId="63" borderId="0" applyNumberFormat="0" applyBorder="0" applyAlignment="0" applyProtection="0"/>
    <xf numFmtId="0" fontId="10" fillId="63" borderId="0" applyNumberFormat="0" applyBorder="0" applyAlignment="0" applyProtection="0"/>
    <xf numFmtId="0" fontId="10" fillId="63"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5" fillId="39"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188" fontId="10" fillId="63" borderId="0" applyNumberFormat="0" applyBorder="0" applyAlignment="0" applyProtection="0"/>
    <xf numFmtId="0" fontId="94" fillId="64" borderId="0" applyNumberFormat="0" applyBorder="0" applyAlignment="0" applyProtection="0"/>
    <xf numFmtId="0" fontId="10" fillId="63" borderId="0" applyNumberFormat="0" applyBorder="0" applyAlignment="0" applyProtection="0"/>
    <xf numFmtId="0" fontId="10" fillId="63" borderId="0" applyNumberFormat="0" applyBorder="0" applyAlignment="0" applyProtection="0"/>
    <xf numFmtId="0" fontId="10" fillId="63" borderId="0" applyNumberFormat="0" applyBorder="0" applyAlignment="0" applyProtection="0"/>
    <xf numFmtId="0" fontId="10" fillId="63" borderId="0" applyNumberFormat="0" applyBorder="0" applyAlignment="0" applyProtection="0"/>
    <xf numFmtId="0" fontId="10" fillId="63" borderId="0" applyNumberFormat="0" applyBorder="0" applyAlignment="0" applyProtection="0"/>
    <xf numFmtId="0" fontId="95" fillId="39" borderId="0" applyNumberFormat="0" applyBorder="0" applyAlignment="0" applyProtection="0"/>
    <xf numFmtId="0" fontId="10" fillId="63" borderId="0" applyNumberFormat="0" applyBorder="0" applyAlignment="0" applyProtection="0"/>
    <xf numFmtId="188" fontId="10" fillId="63" borderId="0" applyNumberFormat="0" applyBorder="0" applyAlignment="0" applyProtection="0"/>
    <xf numFmtId="0" fontId="10" fillId="63" borderId="0" applyNumberFormat="0" applyBorder="0" applyAlignment="0" applyProtection="0"/>
    <xf numFmtId="0" fontId="10" fillId="63" borderId="0" applyNumberFormat="0" applyBorder="0" applyAlignment="0" applyProtection="0"/>
    <xf numFmtId="0" fontId="10" fillId="63" borderId="0" applyNumberFormat="0" applyBorder="0" applyAlignment="0" applyProtection="0"/>
    <xf numFmtId="0" fontId="10" fillId="63" borderId="0" applyNumberFormat="0" applyBorder="0" applyAlignment="0" applyProtection="0"/>
    <xf numFmtId="0" fontId="10" fillId="63" borderId="0" applyNumberFormat="0" applyBorder="0" applyAlignment="0" applyProtection="0"/>
    <xf numFmtId="0" fontId="95" fillId="39" borderId="0" applyNumberFormat="0" applyBorder="0" applyAlignment="0" applyProtection="0"/>
    <xf numFmtId="0" fontId="10" fillId="63" borderId="0" applyNumberFormat="0" applyBorder="0" applyAlignment="0" applyProtection="0"/>
    <xf numFmtId="0" fontId="79" fillId="39" borderId="0" applyNumberFormat="0" applyBorder="0" applyAlignment="0" applyProtection="0"/>
    <xf numFmtId="0" fontId="95" fillId="39" borderId="0" applyNumberFormat="0" applyBorder="0" applyAlignment="0" applyProtection="0"/>
    <xf numFmtId="0" fontId="95" fillId="39" borderId="0" applyNumberFormat="0" applyBorder="0" applyAlignment="0" applyProtection="0"/>
    <xf numFmtId="0" fontId="95" fillId="39" borderId="0" applyNumberFormat="0" applyBorder="0" applyAlignment="0" applyProtection="0"/>
    <xf numFmtId="188" fontId="10" fillId="60"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79" fillId="43"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10" fillId="60"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10" fillId="60" borderId="0" applyNumberFormat="0" applyBorder="0" applyAlignment="0" applyProtection="0"/>
    <xf numFmtId="0" fontId="94" fillId="68" borderId="0" applyNumberFormat="0" applyBorder="0" applyAlignment="0" applyProtection="0"/>
    <xf numFmtId="0" fontId="10" fillId="60" borderId="0" applyNumberFormat="0" applyBorder="0" applyAlignment="0" applyProtection="0"/>
    <xf numFmtId="0" fontId="94" fillId="68" borderId="0" applyNumberFormat="0" applyBorder="0" applyAlignment="0" applyProtection="0"/>
    <xf numFmtId="0" fontId="10" fillId="60" borderId="0" applyNumberFormat="0" applyBorder="0" applyAlignment="0" applyProtection="0"/>
    <xf numFmtId="0" fontId="94" fillId="68"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5" fillId="43"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188" fontId="10" fillId="60" borderId="0" applyNumberFormat="0" applyBorder="0" applyAlignment="0" applyProtection="0"/>
    <xf numFmtId="0" fontId="94" fillId="68"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95" fillId="43" borderId="0" applyNumberFormat="0" applyBorder="0" applyAlignment="0" applyProtection="0"/>
    <xf numFmtId="0" fontId="10" fillId="60" borderId="0" applyNumberFormat="0" applyBorder="0" applyAlignment="0" applyProtection="0"/>
    <xf numFmtId="188"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95" fillId="43" borderId="0" applyNumberFormat="0" applyBorder="0" applyAlignment="0" applyProtection="0"/>
    <xf numFmtId="0" fontId="10" fillId="60" borderId="0" applyNumberFormat="0" applyBorder="0" applyAlignment="0" applyProtection="0"/>
    <xf numFmtId="0" fontId="79"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188" fontId="10"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79" fillId="47"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10"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10" fillId="66" borderId="0" applyNumberFormat="0" applyBorder="0" applyAlignment="0" applyProtection="0"/>
    <xf numFmtId="0" fontId="94" fillId="66" borderId="0" applyNumberFormat="0" applyBorder="0" applyAlignment="0" applyProtection="0"/>
    <xf numFmtId="0" fontId="10" fillId="66" borderId="0" applyNumberFormat="0" applyBorder="0" applyAlignment="0" applyProtection="0"/>
    <xf numFmtId="0" fontId="94" fillId="66" borderId="0" applyNumberFormat="0" applyBorder="0" applyAlignment="0" applyProtection="0"/>
    <xf numFmtId="0" fontId="10" fillId="66" borderId="0" applyNumberFormat="0" applyBorder="0" applyAlignment="0" applyProtection="0"/>
    <xf numFmtId="0" fontId="94"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5" fillId="47"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188" fontId="10" fillId="66" borderId="0" applyNumberFormat="0" applyBorder="0" applyAlignment="0" applyProtection="0"/>
    <xf numFmtId="0" fontId="94"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95" fillId="47" borderId="0" applyNumberFormat="0" applyBorder="0" applyAlignment="0" applyProtection="0"/>
    <xf numFmtId="0" fontId="10" fillId="66" borderId="0" applyNumberFormat="0" applyBorder="0" applyAlignment="0" applyProtection="0"/>
    <xf numFmtId="188"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95" fillId="47" borderId="0" applyNumberFormat="0" applyBorder="0" applyAlignment="0" applyProtection="0"/>
    <xf numFmtId="0" fontId="10" fillId="66" borderId="0" applyNumberFormat="0" applyBorder="0" applyAlignment="0" applyProtection="0"/>
    <xf numFmtId="0" fontId="79" fillId="47" borderId="0" applyNumberFormat="0" applyBorder="0" applyAlignment="0" applyProtection="0"/>
    <xf numFmtId="0" fontId="95" fillId="47" borderId="0" applyNumberFormat="0" applyBorder="0" applyAlignment="0" applyProtection="0"/>
    <xf numFmtId="0" fontId="95" fillId="47" borderId="0" applyNumberFormat="0" applyBorder="0" applyAlignment="0" applyProtection="0"/>
    <xf numFmtId="0" fontId="95" fillId="47" borderId="0" applyNumberFormat="0" applyBorder="0" applyAlignment="0" applyProtection="0"/>
    <xf numFmtId="188" fontId="10" fillId="58"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79" fillId="51"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10" fillId="58"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10" fillId="58" borderId="0" applyNumberFormat="0" applyBorder="0" applyAlignment="0" applyProtection="0"/>
    <xf numFmtId="0" fontId="94" fillId="69" borderId="0" applyNumberFormat="0" applyBorder="0" applyAlignment="0" applyProtection="0"/>
    <xf numFmtId="0" fontId="10" fillId="58" borderId="0" applyNumberFormat="0" applyBorder="0" applyAlignment="0" applyProtection="0"/>
    <xf numFmtId="0" fontId="94" fillId="69" borderId="0" applyNumberFormat="0" applyBorder="0" applyAlignment="0" applyProtection="0"/>
    <xf numFmtId="0" fontId="10" fillId="58" borderId="0" applyNumberFormat="0" applyBorder="0" applyAlignment="0" applyProtection="0"/>
    <xf numFmtId="0" fontId="94" fillId="69"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5" fillId="51"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0" fontId="94" fillId="69" borderId="0" applyNumberFormat="0" applyBorder="0" applyAlignment="0" applyProtection="0"/>
    <xf numFmtId="188" fontId="10" fillId="58" borderId="0" applyNumberFormat="0" applyBorder="0" applyAlignment="0" applyProtection="0"/>
    <xf numFmtId="0" fontId="94" fillId="69"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95" fillId="51" borderId="0" applyNumberFormat="0" applyBorder="0" applyAlignment="0" applyProtection="0"/>
    <xf numFmtId="0" fontId="10" fillId="58" borderId="0" applyNumberFormat="0" applyBorder="0" applyAlignment="0" applyProtection="0"/>
    <xf numFmtId="188"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95" fillId="51" borderId="0" applyNumberFormat="0" applyBorder="0" applyAlignment="0" applyProtection="0"/>
    <xf numFmtId="0" fontId="10" fillId="58" borderId="0" applyNumberFormat="0" applyBorder="0" applyAlignment="0" applyProtection="0"/>
    <xf numFmtId="0" fontId="79"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6" fillId="70" borderId="0">
      <alignment horizontal="left" vertical="top"/>
    </xf>
    <xf numFmtId="192" fontId="92" fillId="0" borderId="0" applyFont="0" applyFill="0" applyBorder="0" applyAlignment="0" applyProtection="0"/>
    <xf numFmtId="188" fontId="10" fillId="66"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79" fillId="28"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10" fillId="66"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10" fillId="66" borderId="0" applyNumberFormat="0" applyBorder="0" applyAlignment="0" applyProtection="0"/>
    <xf numFmtId="0" fontId="94" fillId="71" borderId="0" applyNumberFormat="0" applyBorder="0" applyAlignment="0" applyProtection="0"/>
    <xf numFmtId="0" fontId="10" fillId="66" borderId="0" applyNumberFormat="0" applyBorder="0" applyAlignment="0" applyProtection="0"/>
    <xf numFmtId="0" fontId="94" fillId="71" borderId="0" applyNumberFormat="0" applyBorder="0" applyAlignment="0" applyProtection="0"/>
    <xf numFmtId="0" fontId="10" fillId="66" borderId="0" applyNumberFormat="0" applyBorder="0" applyAlignment="0" applyProtection="0"/>
    <xf numFmtId="0" fontId="94" fillId="71"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5" fillId="28"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0" fontId="94" fillId="71" borderId="0" applyNumberFormat="0" applyBorder="0" applyAlignment="0" applyProtection="0"/>
    <xf numFmtId="188" fontId="10" fillId="66" borderId="0" applyNumberFormat="0" applyBorder="0" applyAlignment="0" applyProtection="0"/>
    <xf numFmtId="0" fontId="94" fillId="71"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95" fillId="28" borderId="0" applyNumberFormat="0" applyBorder="0" applyAlignment="0" applyProtection="0"/>
    <xf numFmtId="0" fontId="10" fillId="66" borderId="0" applyNumberFormat="0" applyBorder="0" applyAlignment="0" applyProtection="0"/>
    <xf numFmtId="188"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95" fillId="28" borderId="0" applyNumberFormat="0" applyBorder="0" applyAlignment="0" applyProtection="0"/>
    <xf numFmtId="0" fontId="10" fillId="66" borderId="0" applyNumberFormat="0" applyBorder="0" applyAlignment="0" applyProtection="0"/>
    <xf numFmtId="0" fontId="79" fillId="28" borderId="0" applyNumberFormat="0" applyBorder="0" applyAlignment="0" applyProtection="0"/>
    <xf numFmtId="0" fontId="95" fillId="28" borderId="0" applyNumberFormat="0" applyBorder="0" applyAlignment="0" applyProtection="0"/>
    <xf numFmtId="0" fontId="95" fillId="28" borderId="0" applyNumberFormat="0" applyBorder="0" applyAlignment="0" applyProtection="0"/>
    <xf numFmtId="0" fontId="95" fillId="28" borderId="0" applyNumberFormat="0" applyBorder="0" applyAlignment="0" applyProtection="0"/>
    <xf numFmtId="188" fontId="10" fillId="64"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79" fillId="32"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10" fillId="64"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10" fillId="64" borderId="0" applyNumberFormat="0" applyBorder="0" applyAlignment="0" applyProtection="0"/>
    <xf numFmtId="0" fontId="94" fillId="60" borderId="0" applyNumberFormat="0" applyBorder="0" applyAlignment="0" applyProtection="0"/>
    <xf numFmtId="0" fontId="10" fillId="64" borderId="0" applyNumberFormat="0" applyBorder="0" applyAlignment="0" applyProtection="0"/>
    <xf numFmtId="0" fontId="94" fillId="60" borderId="0" applyNumberFormat="0" applyBorder="0" applyAlignment="0" applyProtection="0"/>
    <xf numFmtId="0" fontId="10" fillId="64" borderId="0" applyNumberFormat="0" applyBorder="0" applyAlignment="0" applyProtection="0"/>
    <xf numFmtId="0" fontId="94" fillId="60"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5" fillId="32"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188" fontId="10" fillId="64" borderId="0" applyNumberFormat="0" applyBorder="0" applyAlignment="0" applyProtection="0"/>
    <xf numFmtId="0" fontId="94" fillId="60"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95" fillId="32" borderId="0" applyNumberFormat="0" applyBorder="0" applyAlignment="0" applyProtection="0"/>
    <xf numFmtId="0" fontId="10" fillId="64" borderId="0" applyNumberFormat="0" applyBorder="0" applyAlignment="0" applyProtection="0"/>
    <xf numFmtId="188"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10" fillId="64" borderId="0" applyNumberFormat="0" applyBorder="0" applyAlignment="0" applyProtection="0"/>
    <xf numFmtId="0" fontId="95" fillId="32" borderId="0" applyNumberFormat="0" applyBorder="0" applyAlignment="0" applyProtection="0"/>
    <xf numFmtId="0" fontId="10" fillId="64" borderId="0" applyNumberFormat="0" applyBorder="0" applyAlignment="0" applyProtection="0"/>
    <xf numFmtId="0" fontId="79" fillId="32" borderId="0" applyNumberFormat="0" applyBorder="0" applyAlignment="0" applyProtection="0"/>
    <xf numFmtId="0" fontId="95" fillId="32" borderId="0" applyNumberFormat="0" applyBorder="0" applyAlignment="0" applyProtection="0"/>
    <xf numFmtId="0" fontId="95" fillId="32" borderId="0" applyNumberFormat="0" applyBorder="0" applyAlignment="0" applyProtection="0"/>
    <xf numFmtId="0" fontId="95" fillId="32" borderId="0" applyNumberFormat="0" applyBorder="0" applyAlignment="0" applyProtection="0"/>
    <xf numFmtId="188" fontId="10"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79" fillId="36"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10"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10" fillId="72" borderId="0" applyNumberFormat="0" applyBorder="0" applyAlignment="0" applyProtection="0"/>
    <xf numFmtId="0" fontId="94" fillId="72" borderId="0" applyNumberFormat="0" applyBorder="0" applyAlignment="0" applyProtection="0"/>
    <xf numFmtId="0" fontId="10" fillId="72" borderId="0" applyNumberFormat="0" applyBorder="0" applyAlignment="0" applyProtection="0"/>
    <xf numFmtId="0" fontId="94" fillId="72" borderId="0" applyNumberFormat="0" applyBorder="0" applyAlignment="0" applyProtection="0"/>
    <xf numFmtId="0" fontId="10" fillId="72" borderId="0" applyNumberFormat="0" applyBorder="0" applyAlignment="0" applyProtection="0"/>
    <xf numFmtId="0" fontId="94"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5" fillId="36"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0" fontId="94" fillId="72" borderId="0" applyNumberFormat="0" applyBorder="0" applyAlignment="0" applyProtection="0"/>
    <xf numFmtId="188" fontId="10" fillId="72" borderId="0" applyNumberFormat="0" applyBorder="0" applyAlignment="0" applyProtection="0"/>
    <xf numFmtId="0" fontId="94"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95" fillId="36" borderId="0" applyNumberFormat="0" applyBorder="0" applyAlignment="0" applyProtection="0"/>
    <xf numFmtId="0" fontId="10" fillId="72" borderId="0" applyNumberFormat="0" applyBorder="0" applyAlignment="0" applyProtection="0"/>
    <xf numFmtId="188"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95" fillId="36" borderId="0" applyNumberFormat="0" applyBorder="0" applyAlignment="0" applyProtection="0"/>
    <xf numFmtId="0" fontId="10" fillId="72" borderId="0" applyNumberFormat="0" applyBorder="0" applyAlignment="0" applyProtection="0"/>
    <xf numFmtId="0" fontId="79" fillId="36" borderId="0" applyNumberFormat="0" applyBorder="0" applyAlignment="0" applyProtection="0"/>
    <xf numFmtId="0" fontId="95" fillId="36" borderId="0" applyNumberFormat="0" applyBorder="0" applyAlignment="0" applyProtection="0"/>
    <xf numFmtId="0" fontId="95" fillId="36" borderId="0" applyNumberFormat="0" applyBorder="0" applyAlignment="0" applyProtection="0"/>
    <xf numFmtId="0" fontId="95" fillId="36" borderId="0" applyNumberFormat="0" applyBorder="0" applyAlignment="0" applyProtection="0"/>
    <xf numFmtId="188" fontId="10" fillId="73"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79" fillId="40"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10" fillId="73"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10" fillId="73" borderId="0" applyNumberFormat="0" applyBorder="0" applyAlignment="0" applyProtection="0"/>
    <xf numFmtId="0" fontId="94" fillId="68" borderId="0" applyNumberFormat="0" applyBorder="0" applyAlignment="0" applyProtection="0"/>
    <xf numFmtId="0" fontId="10" fillId="73" borderId="0" applyNumberFormat="0" applyBorder="0" applyAlignment="0" applyProtection="0"/>
    <xf numFmtId="0" fontId="94" fillId="68" borderId="0" applyNumberFormat="0" applyBorder="0" applyAlignment="0" applyProtection="0"/>
    <xf numFmtId="0" fontId="10" fillId="73" borderId="0" applyNumberFormat="0" applyBorder="0" applyAlignment="0" applyProtection="0"/>
    <xf numFmtId="0" fontId="94" fillId="68"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5" fillId="40"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188" fontId="10" fillId="73" borderId="0" applyNumberFormat="0" applyBorder="0" applyAlignment="0" applyProtection="0"/>
    <xf numFmtId="0" fontId="94" fillId="68"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95" fillId="40" borderId="0" applyNumberFormat="0" applyBorder="0" applyAlignment="0" applyProtection="0"/>
    <xf numFmtId="0" fontId="10" fillId="73" borderId="0" applyNumberFormat="0" applyBorder="0" applyAlignment="0" applyProtection="0"/>
    <xf numFmtId="188"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95" fillId="40" borderId="0" applyNumberFormat="0" applyBorder="0" applyAlignment="0" applyProtection="0"/>
    <xf numFmtId="0" fontId="10" fillId="73" borderId="0" applyNumberFormat="0" applyBorder="0" applyAlignment="0" applyProtection="0"/>
    <xf numFmtId="0" fontId="79" fillId="40" borderId="0" applyNumberFormat="0" applyBorder="0" applyAlignment="0" applyProtection="0"/>
    <xf numFmtId="0" fontId="95" fillId="40" borderId="0" applyNumberFormat="0" applyBorder="0" applyAlignment="0" applyProtection="0"/>
    <xf numFmtId="0" fontId="95" fillId="40" borderId="0" applyNumberFormat="0" applyBorder="0" applyAlignment="0" applyProtection="0"/>
    <xf numFmtId="0" fontId="95" fillId="40" borderId="0" applyNumberFormat="0" applyBorder="0" applyAlignment="0" applyProtection="0"/>
    <xf numFmtId="188" fontId="10"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79" fillId="44"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10"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10" fillId="66" borderId="0" applyNumberFormat="0" applyBorder="0" applyAlignment="0" applyProtection="0"/>
    <xf numFmtId="0" fontId="94" fillId="66" borderId="0" applyNumberFormat="0" applyBorder="0" applyAlignment="0" applyProtection="0"/>
    <xf numFmtId="0" fontId="10" fillId="66" borderId="0" applyNumberFormat="0" applyBorder="0" applyAlignment="0" applyProtection="0"/>
    <xf numFmtId="0" fontId="94" fillId="66" borderId="0" applyNumberFormat="0" applyBorder="0" applyAlignment="0" applyProtection="0"/>
    <xf numFmtId="0" fontId="10" fillId="66" borderId="0" applyNumberFormat="0" applyBorder="0" applyAlignment="0" applyProtection="0"/>
    <xf numFmtId="0" fontId="94"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5" fillId="44"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188" fontId="10" fillId="66" borderId="0" applyNumberFormat="0" applyBorder="0" applyAlignment="0" applyProtection="0"/>
    <xf numFmtId="0" fontId="94"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95" fillId="44" borderId="0" applyNumberFormat="0" applyBorder="0" applyAlignment="0" applyProtection="0"/>
    <xf numFmtId="0" fontId="10" fillId="66" borderId="0" applyNumberFormat="0" applyBorder="0" applyAlignment="0" applyProtection="0"/>
    <xf numFmtId="188"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95" fillId="44" borderId="0" applyNumberFormat="0" applyBorder="0" applyAlignment="0" applyProtection="0"/>
    <xf numFmtId="0" fontId="10" fillId="66" borderId="0" applyNumberFormat="0" applyBorder="0" applyAlignment="0" applyProtection="0"/>
    <xf numFmtId="0" fontId="79" fillId="44" borderId="0" applyNumberFormat="0" applyBorder="0" applyAlignment="0" applyProtection="0"/>
    <xf numFmtId="0" fontId="95" fillId="44" borderId="0" applyNumberFormat="0" applyBorder="0" applyAlignment="0" applyProtection="0"/>
    <xf numFmtId="0" fontId="95" fillId="44" borderId="0" applyNumberFormat="0" applyBorder="0" applyAlignment="0" applyProtection="0"/>
    <xf numFmtId="0" fontId="95" fillId="44" borderId="0" applyNumberFormat="0" applyBorder="0" applyAlignment="0" applyProtection="0"/>
    <xf numFmtId="188" fontId="10"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79" fillId="48"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10"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10" fillId="74" borderId="0" applyNumberFormat="0" applyBorder="0" applyAlignment="0" applyProtection="0"/>
    <xf numFmtId="0" fontId="94" fillId="74" borderId="0" applyNumberFormat="0" applyBorder="0" applyAlignment="0" applyProtection="0"/>
    <xf numFmtId="0" fontId="10" fillId="74" borderId="0" applyNumberFormat="0" applyBorder="0" applyAlignment="0" applyProtection="0"/>
    <xf numFmtId="0" fontId="94" fillId="74" borderId="0" applyNumberFormat="0" applyBorder="0" applyAlignment="0" applyProtection="0"/>
    <xf numFmtId="0" fontId="10" fillId="74" borderId="0" applyNumberFormat="0" applyBorder="0" applyAlignment="0" applyProtection="0"/>
    <xf numFmtId="0" fontId="94"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5" fillId="48"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0" fontId="94" fillId="74" borderId="0" applyNumberFormat="0" applyBorder="0" applyAlignment="0" applyProtection="0"/>
    <xf numFmtId="188" fontId="10" fillId="74" borderId="0" applyNumberFormat="0" applyBorder="0" applyAlignment="0" applyProtection="0"/>
    <xf numFmtId="0" fontId="94"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95" fillId="48" borderId="0" applyNumberFormat="0" applyBorder="0" applyAlignment="0" applyProtection="0"/>
    <xf numFmtId="0" fontId="10" fillId="74" borderId="0" applyNumberFormat="0" applyBorder="0" applyAlignment="0" applyProtection="0"/>
    <xf numFmtId="188"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95" fillId="48" borderId="0" applyNumberFormat="0" applyBorder="0" applyAlignment="0" applyProtection="0"/>
    <xf numFmtId="0" fontId="10" fillId="74" borderId="0" applyNumberFormat="0" applyBorder="0" applyAlignment="0" applyProtection="0"/>
    <xf numFmtId="0" fontId="79" fillId="48" borderId="0" applyNumberFormat="0" applyBorder="0" applyAlignment="0" applyProtection="0"/>
    <xf numFmtId="0" fontId="95" fillId="48" borderId="0" applyNumberFormat="0" applyBorder="0" applyAlignment="0" applyProtection="0"/>
    <xf numFmtId="0" fontId="95" fillId="48" borderId="0" applyNumberFormat="0" applyBorder="0" applyAlignment="0" applyProtection="0"/>
    <xf numFmtId="0" fontId="95" fillId="48" borderId="0" applyNumberFormat="0" applyBorder="0" applyAlignment="0" applyProtection="0"/>
    <xf numFmtId="193" fontId="83" fillId="0" borderId="0" applyFill="0" applyBorder="0" applyAlignment="0"/>
    <xf numFmtId="43" fontId="83" fillId="0" borderId="0" applyFont="0" applyFill="0" applyBorder="0" applyAlignment="0" applyProtection="0"/>
    <xf numFmtId="188"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72" fillId="24" borderId="39"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8" fillId="24" borderId="39"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7" fillId="58" borderId="45" applyNumberFormat="0" applyAlignment="0" applyProtection="0"/>
    <xf numFmtId="188" fontId="97" fillId="58" borderId="45" applyNumberFormat="0" applyAlignment="0" applyProtection="0"/>
    <xf numFmtId="0" fontId="97" fillId="58" borderId="45"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8" fillId="24" borderId="39" applyNumberFormat="0" applyAlignment="0" applyProtection="0"/>
    <xf numFmtId="0" fontId="10" fillId="0" borderId="0" applyNumberFormat="0" applyFont="0" applyFill="0" applyBorder="0" applyAlignment="0" applyProtection="0"/>
    <xf numFmtId="188" fontId="97" fillId="58" borderId="45"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7" fillId="58" borderId="45" applyNumberFormat="0" applyAlignment="0" applyProtection="0"/>
    <xf numFmtId="0" fontId="97" fillId="58" borderId="45" applyNumberFormat="0" applyAlignment="0" applyProtection="0"/>
    <xf numFmtId="0" fontId="98" fillId="24" borderId="39" applyNumberFormat="0" applyAlignment="0" applyProtection="0"/>
    <xf numFmtId="0" fontId="10" fillId="0" borderId="0" applyNumberFormat="0" applyFont="0" applyFill="0" applyBorder="0" applyAlignment="0" applyProtection="0"/>
    <xf numFmtId="0" fontId="72" fillId="24" borderId="39" applyNumberFormat="0" applyAlignment="0" applyProtection="0"/>
    <xf numFmtId="0" fontId="98" fillId="24" borderId="39" applyNumberFormat="0" applyAlignment="0" applyProtection="0"/>
    <xf numFmtId="0" fontId="98" fillId="24" borderId="39" applyNumberFormat="0" applyAlignment="0" applyProtection="0"/>
    <xf numFmtId="0" fontId="98" fillId="24" borderId="39" applyNumberFormat="0" applyAlignment="0" applyProtection="0"/>
    <xf numFmtId="188" fontId="99" fillId="57" borderId="46"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73" fillId="25" borderId="40"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57"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57"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0" fillId="25" borderId="40" applyNumberFormat="0" applyAlignment="0" applyProtection="0"/>
    <xf numFmtId="0" fontId="101" fillId="0" borderId="40"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99" fillId="75" borderId="46" applyNumberFormat="0" applyAlignment="0" applyProtection="0"/>
    <xf numFmtId="0" fontId="99" fillId="75" borderId="46" applyNumberFormat="0" applyAlignment="0" applyProtection="0"/>
    <xf numFmtId="0" fontId="99" fillId="75" borderId="46" applyNumberFormat="0" applyAlignment="0" applyProtection="0"/>
    <xf numFmtId="188" fontId="99" fillId="57" borderId="46" applyNumberFormat="0" applyAlignment="0" applyProtection="0"/>
    <xf numFmtId="0" fontId="99" fillId="75" borderId="46"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9" fillId="57" borderId="46" applyNumberFormat="0" applyAlignment="0" applyProtection="0"/>
    <xf numFmtId="0" fontId="99" fillId="57" borderId="46" applyNumberFormat="0" applyAlignment="0" applyProtection="0"/>
    <xf numFmtId="0" fontId="100" fillId="25" borderId="40" applyNumberFormat="0" applyAlignment="0" applyProtection="0"/>
    <xf numFmtId="0" fontId="10" fillId="0" borderId="0" applyNumberFormat="0" applyFont="0" applyFill="0" applyBorder="0" applyAlignment="0" applyProtection="0"/>
    <xf numFmtId="188" fontId="99" fillId="57" borderId="46"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99" fillId="57" borderId="46" applyNumberFormat="0" applyAlignment="0" applyProtection="0"/>
    <xf numFmtId="0" fontId="99" fillId="57" borderId="46" applyNumberFormat="0" applyAlignment="0" applyProtection="0"/>
    <xf numFmtId="0" fontId="100" fillId="25" borderId="40" applyNumberFormat="0" applyAlignment="0" applyProtection="0"/>
    <xf numFmtId="0" fontId="10" fillId="0" borderId="0" applyNumberFormat="0" applyFont="0" applyFill="0" applyBorder="0" applyAlignment="0" applyProtection="0"/>
    <xf numFmtId="0" fontId="73" fillId="25" borderId="40" applyNumberFormat="0" applyAlignment="0" applyProtection="0"/>
    <xf numFmtId="0" fontId="100" fillId="25" borderId="40" applyNumberFormat="0" applyAlignment="0" applyProtection="0"/>
    <xf numFmtId="0" fontId="101" fillId="0" borderId="40" applyNumberFormat="0" applyFill="0" applyAlignment="0" applyProtection="0"/>
    <xf numFmtId="0" fontId="101" fillId="0" borderId="40" applyNumberFormat="0" applyFill="0" applyAlignment="0" applyProtection="0"/>
    <xf numFmtId="0" fontId="100" fillId="25" borderId="40" applyNumberFormat="0" applyAlignment="0" applyProtection="0"/>
    <xf numFmtId="0" fontId="101" fillId="0" borderId="40" applyNumberFormat="0" applyFill="0" applyAlignment="0" applyProtection="0"/>
    <xf numFmtId="188" fontId="102" fillId="54"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69" fillId="21"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3" fillId="21" borderId="0" applyNumberFormat="0" applyBorder="0" applyAlignment="0" applyProtection="0"/>
    <xf numFmtId="0" fontId="103"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2" fillId="54" borderId="0" applyNumberFormat="0" applyBorder="0" applyAlignment="0" applyProtection="0"/>
    <xf numFmtId="188" fontId="102" fillId="54" borderId="0" applyNumberFormat="0" applyBorder="0" applyAlignment="0" applyProtection="0"/>
    <xf numFmtId="0" fontId="102" fillId="54"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3" fillId="21" borderId="0" applyNumberFormat="0" applyBorder="0" applyAlignment="0" applyProtection="0"/>
    <xf numFmtId="0" fontId="10" fillId="0" borderId="0" applyNumberFormat="0" applyFont="0" applyFill="0" applyBorder="0" applyAlignment="0" applyProtection="0"/>
    <xf numFmtId="188" fontId="102" fillId="54"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2" fillId="54" borderId="0" applyNumberFormat="0" applyBorder="0" applyAlignment="0" applyProtection="0"/>
    <xf numFmtId="0" fontId="102" fillId="54" borderId="0" applyNumberFormat="0" applyBorder="0" applyAlignment="0" applyProtection="0"/>
    <xf numFmtId="0" fontId="103" fillId="21" borderId="0" applyNumberFormat="0" applyBorder="0" applyAlignment="0" applyProtection="0"/>
    <xf numFmtId="0" fontId="10" fillId="0" borderId="0" applyNumberFormat="0" applyFont="0" applyFill="0" applyBorder="0" applyAlignment="0" applyProtection="0"/>
    <xf numFmtId="0" fontId="69" fillId="21" borderId="0" applyNumberFormat="0" applyBorder="0" applyAlignment="0" applyProtection="0"/>
    <xf numFmtId="0" fontId="103" fillId="21" borderId="0" applyNumberFormat="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21" borderId="0" applyNumberFormat="0" applyBorder="0" applyAlignment="0" applyProtection="0"/>
    <xf numFmtId="0" fontId="103" fillId="0" borderId="0" applyNumberFormat="0" applyFill="0" applyBorder="0" applyAlignment="0" applyProtection="0"/>
    <xf numFmtId="194" fontId="104" fillId="0" borderId="0">
      <alignment horizontal="center"/>
    </xf>
    <xf numFmtId="195" fontId="87" fillId="0" borderId="0" applyFont="0" applyFill="0" applyBorder="0" applyAlignment="0" applyProtection="0"/>
    <xf numFmtId="196" fontId="8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5" fontId="87" fillId="0" borderId="0" applyFont="0" applyFill="0" applyBorder="0" applyAlignment="0" applyProtection="0"/>
    <xf numFmtId="0" fontId="10" fillId="0" borderId="0" applyNumberFormat="0" applyFont="0" applyFill="0" applyBorder="0" applyAlignment="0" applyProtection="0"/>
    <xf numFmtId="43" fontId="87" fillId="0" borderId="0" applyFont="0" applyFill="0" applyBorder="0" applyAlignment="0" applyProtection="0"/>
    <xf numFmtId="0" fontId="10" fillId="0" borderId="0" applyNumberFormat="0" applyFont="0" applyFill="0" applyBorder="0" applyAlignment="0" applyProtection="0"/>
    <xf numFmtId="43" fontId="87" fillId="0" borderId="0" applyFont="0" applyFill="0" applyBorder="0" applyAlignment="0" applyProtection="0"/>
    <xf numFmtId="0" fontId="10" fillId="0" borderId="0" applyNumberFormat="0" applyFont="0" applyFill="0" applyBorder="0" applyAlignment="0" applyProtection="0"/>
    <xf numFmtId="43" fontId="87" fillId="0" borderId="0" applyFont="0" applyFill="0" applyBorder="0" applyAlignment="0" applyProtection="0"/>
    <xf numFmtId="0" fontId="10" fillId="0" borderId="0" applyNumberFormat="0" applyFont="0" applyFill="0" applyBorder="0" applyAlignment="0" applyProtection="0"/>
    <xf numFmtId="43" fontId="87" fillId="0" borderId="0" applyFont="0" applyFill="0" applyBorder="0" applyAlignment="0" applyProtection="0"/>
    <xf numFmtId="0" fontId="10" fillId="0" borderId="0" applyNumberFormat="0" applyFont="0" applyFill="0" applyBorder="0" applyAlignment="0" applyProtection="0"/>
    <xf numFmtId="43" fontId="87" fillId="0" borderId="0" applyFont="0" applyFill="0" applyBorder="0" applyAlignment="0" applyProtection="0"/>
    <xf numFmtId="0" fontId="10" fillId="0" borderId="0" applyNumberFormat="0" applyFont="0" applyFill="0" applyBorder="0" applyAlignment="0" applyProtection="0"/>
    <xf numFmtId="43" fontId="87" fillId="0" borderId="0" applyFont="0" applyFill="0" applyBorder="0" applyAlignment="0" applyProtection="0"/>
    <xf numFmtId="0" fontId="10" fillId="0" borderId="0" applyNumberFormat="0" applyFont="0" applyFill="0" applyBorder="0" applyAlignment="0" applyProtection="0"/>
    <xf numFmtId="43" fontId="87" fillId="0" borderId="0" applyFont="0" applyFill="0" applyBorder="0" applyAlignment="0" applyProtection="0"/>
    <xf numFmtId="0" fontId="10" fillId="0" borderId="0" applyNumberFormat="0" applyFont="0" applyFill="0" applyBorder="0" applyAlignment="0" applyProtection="0"/>
    <xf numFmtId="43" fontId="87" fillId="0" borderId="0" applyFont="0" applyFill="0" applyBorder="0" applyAlignment="0" applyProtection="0"/>
    <xf numFmtId="43" fontId="105" fillId="0" borderId="0" applyFont="0" applyFill="0" applyBorder="0" applyAlignment="0" applyProtection="0"/>
    <xf numFmtId="43" fontId="87" fillId="0" borderId="0" applyFont="0" applyFill="0" applyBorder="0" applyAlignment="0" applyProtection="0"/>
    <xf numFmtId="0" fontId="10" fillId="0" borderId="0" applyNumberFormat="0" applyFont="0" applyFill="0" applyBorder="0" applyAlignment="0" applyProtection="0"/>
    <xf numFmtId="43" fontId="8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43" fontId="84" fillId="0" borderId="0" applyFont="0" applyFill="0" applyBorder="0" applyAlignment="0" applyProtection="0"/>
    <xf numFmtId="0" fontId="10" fillId="0" borderId="0" applyNumberFormat="0" applyFont="0" applyFill="0" applyBorder="0" applyAlignment="0" applyProtection="0"/>
    <xf numFmtId="43" fontId="8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43" fontId="8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43" fontId="84" fillId="0" borderId="0" applyFont="0" applyFill="0" applyBorder="0" applyAlignment="0" applyProtection="0"/>
    <xf numFmtId="0" fontId="10" fillId="0" borderId="0" applyNumberFormat="0" applyFont="0" applyFill="0" applyBorder="0" applyAlignment="0" applyProtection="0"/>
    <xf numFmtId="43" fontId="84" fillId="0" borderId="0" applyFont="0" applyFill="0" applyBorder="0" applyAlignment="0" applyProtection="0"/>
    <xf numFmtId="43" fontId="105"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43" fontId="87" fillId="0" borderId="0" applyFont="0" applyFill="0" applyBorder="0" applyAlignment="0" applyProtection="0"/>
    <xf numFmtId="0" fontId="10" fillId="0" borderId="0" applyNumberFormat="0" applyFont="0" applyFill="0" applyBorder="0" applyAlignment="0" applyProtection="0"/>
    <xf numFmtId="43" fontId="87"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165" fontId="87" fillId="0" borderId="0" applyFont="0" applyFill="0" applyBorder="0" applyAlignment="0" applyProtection="0"/>
    <xf numFmtId="43" fontId="8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pplyNumberFormat="0" applyFont="0" applyFill="0" applyBorder="0" applyAlignment="0" applyProtection="0"/>
    <xf numFmtId="43" fontId="87"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10" fillId="0" borderId="0" applyFont="0" applyFill="0" applyBorder="0" applyAlignment="0" applyProtection="0"/>
    <xf numFmtId="0" fontId="10" fillId="0" borderId="0" applyNumberFormat="0" applyFont="0" applyFill="0" applyBorder="0" applyAlignment="0" applyProtection="0"/>
    <xf numFmtId="43" fontId="84"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applyNumberFormat="0" applyFont="0" applyFill="0" applyBorder="0" applyAlignment="0" applyProtection="0"/>
    <xf numFmtId="43" fontId="84" fillId="0" borderId="0" applyFont="0" applyFill="0" applyBorder="0" applyAlignment="0" applyProtection="0"/>
    <xf numFmtId="0" fontId="10" fillId="0" borderId="0" applyNumberFormat="0" applyFont="0" applyFill="0" applyBorder="0" applyAlignment="0" applyProtection="0"/>
    <xf numFmtId="43" fontId="84" fillId="0" borderId="0" applyFont="0" applyFill="0" applyBorder="0" applyAlignment="0" applyProtection="0"/>
    <xf numFmtId="0" fontId="10" fillId="0" borderId="0" applyNumberFormat="0" applyFont="0" applyFill="0" applyBorder="0" applyAlignment="0" applyProtection="0"/>
    <xf numFmtId="43" fontId="87" fillId="0" borderId="0" applyFont="0" applyFill="0" applyBorder="0" applyAlignment="0" applyProtection="0"/>
    <xf numFmtId="0" fontId="10" fillId="0" borderId="0" applyNumberFormat="0" applyFont="0" applyFill="0" applyBorder="0" applyAlignment="0" applyProtection="0"/>
    <xf numFmtId="43" fontId="87" fillId="0" borderId="0" applyFont="0" applyFill="0" applyBorder="0" applyAlignment="0" applyProtection="0"/>
    <xf numFmtId="43" fontId="56"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43" fontId="17" fillId="0" borderId="0" applyFont="0" applyFill="0" applyBorder="0" applyAlignment="0" applyProtection="0"/>
    <xf numFmtId="43" fontId="10" fillId="0" borderId="0" applyFont="0" applyFill="0" applyBorder="0" applyAlignment="0" applyProtection="0"/>
    <xf numFmtId="43" fontId="56" fillId="0" borderId="0" applyFont="0" applyFill="0" applyBorder="0" applyAlignment="0" applyProtection="0"/>
    <xf numFmtId="43" fontId="87" fillId="0" borderId="0" applyFont="0" applyFill="0" applyBorder="0" applyAlignment="0" applyProtection="0"/>
    <xf numFmtId="0" fontId="10" fillId="0" borderId="0" applyNumberFormat="0" applyFont="0" applyFill="0" applyBorder="0" applyAlignment="0" applyProtection="0"/>
    <xf numFmtId="43" fontId="56" fillId="0" borderId="0" applyFont="0" applyFill="0" applyBorder="0" applyAlignment="0" applyProtection="0"/>
    <xf numFmtId="43" fontId="87" fillId="0" borderId="0" applyFont="0" applyFill="0" applyBorder="0" applyAlignment="0" applyProtection="0"/>
    <xf numFmtId="0" fontId="10" fillId="0" borderId="0" applyNumberFormat="0" applyFont="0" applyFill="0" applyBorder="0" applyAlignment="0" applyProtection="0"/>
    <xf numFmtId="43" fontId="87" fillId="0" borderId="0" applyFont="0" applyFill="0" applyBorder="0" applyAlignment="0" applyProtection="0"/>
    <xf numFmtId="0" fontId="10" fillId="0" borderId="0" applyNumberFormat="0" applyFont="0" applyFill="0" applyBorder="0" applyAlignment="0" applyProtection="0"/>
    <xf numFmtId="43" fontId="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43" fontId="56" fillId="0" borderId="0" applyFont="0" applyFill="0" applyBorder="0" applyAlignment="0" applyProtection="0"/>
    <xf numFmtId="43" fontId="1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87" fillId="0" borderId="0" applyFont="0" applyFill="0" applyBorder="0" applyAlignment="0" applyProtection="0"/>
    <xf numFmtId="43" fontId="56" fillId="0" borderId="0" applyFont="0" applyFill="0" applyBorder="0" applyAlignment="0" applyProtection="0"/>
    <xf numFmtId="43" fontId="87" fillId="0" borderId="0" applyFont="0" applyFill="0" applyBorder="0" applyAlignment="0" applyProtection="0"/>
    <xf numFmtId="43" fontId="4" fillId="0" borderId="0" applyFont="0" applyFill="0" applyBorder="0" applyAlignment="0" applyProtection="0"/>
    <xf numFmtId="43" fontId="10" fillId="0" borderId="0" applyFont="0" applyFill="0" applyBorder="0" applyAlignment="0" applyProtection="0"/>
    <xf numFmtId="43" fontId="4" fillId="0" borderId="0" applyFont="0" applyFill="0" applyBorder="0" applyAlignment="0" applyProtection="0"/>
    <xf numFmtId="0" fontId="10" fillId="0" borderId="0" applyNumberFormat="0" applyFont="0" applyFill="0" applyBorder="0" applyAlignment="0" applyProtection="0"/>
    <xf numFmtId="165" fontId="87" fillId="0" borderId="0" applyFont="0" applyFill="0" applyBorder="0" applyAlignment="0" applyProtection="0"/>
    <xf numFmtId="43" fontId="87"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17" fillId="0" borderId="0" applyFont="0" applyFill="0" applyBorder="0" applyAlignment="0" applyProtection="0"/>
    <xf numFmtId="43" fontId="4" fillId="0" borderId="0" applyFont="0" applyFill="0" applyBorder="0" applyAlignment="0" applyProtection="0"/>
    <xf numFmtId="43" fontId="107" fillId="0" borderId="0" applyFont="0" applyFill="0" applyBorder="0" applyAlignment="0" applyProtection="0"/>
    <xf numFmtId="0" fontId="108" fillId="0" borderId="0" applyNumberFormat="0" applyFill="0" applyBorder="0" applyAlignment="0" applyProtection="0"/>
    <xf numFmtId="188" fontId="87" fillId="0" borderId="0" applyFont="0" applyFill="0" applyBorder="0" applyAlignment="0" applyProtection="0"/>
    <xf numFmtId="177" fontId="83" fillId="0" borderId="0" applyFont="0" applyFill="0" applyBorder="0" applyAlignment="0" applyProtection="0"/>
    <xf numFmtId="177" fontId="87" fillId="0" borderId="0" applyFont="0" applyFill="0" applyBorder="0" applyAlignment="0" applyProtection="0"/>
    <xf numFmtId="0" fontId="87" fillId="0" borderId="0" applyFont="0" applyFill="0" applyBorder="0" applyAlignment="0" applyProtection="0"/>
    <xf numFmtId="177" fontId="87"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9" fillId="0" borderId="0" applyNumberFormat="0" applyFill="0" applyBorder="0" applyProtection="0">
      <alignment vertical="top"/>
    </xf>
    <xf numFmtId="3" fontId="110" fillId="76" borderId="0" applyNumberFormat="0" applyFont="0" applyBorder="0" applyAlignment="0">
      <protection hidden="1"/>
    </xf>
    <xf numFmtId="0" fontId="106" fillId="0" borderId="1">
      <alignment horizontal="center"/>
    </xf>
    <xf numFmtId="38" fontId="111" fillId="77" borderId="0" applyNumberFormat="0" applyBorder="0" applyAlignment="0" applyProtection="0"/>
    <xf numFmtId="3" fontId="112" fillId="0" borderId="0"/>
    <xf numFmtId="0" fontId="113" fillId="0" borderId="7" applyNumberFormat="0" applyAlignment="0" applyProtection="0">
      <alignment horizontal="left" vertical="center"/>
    </xf>
    <xf numFmtId="0" fontId="113" fillId="0" borderId="47">
      <alignment horizontal="left" vertical="center"/>
    </xf>
    <xf numFmtId="0" fontId="114" fillId="0" borderId="0"/>
    <xf numFmtId="0" fontId="115" fillId="0" borderId="0"/>
    <xf numFmtId="0" fontId="116" fillId="0" borderId="0"/>
    <xf numFmtId="0" fontId="117" fillId="0" borderId="0"/>
    <xf numFmtId="0" fontId="118" fillId="0" borderId="0"/>
    <xf numFmtId="188" fontId="119" fillId="0" borderId="0" applyNumberFormat="0" applyFill="0" applyBorder="0" applyAlignment="0" applyProtection="0">
      <alignment vertical="top"/>
      <protection locked="0"/>
    </xf>
    <xf numFmtId="197" fontId="120" fillId="0" borderId="0"/>
    <xf numFmtId="0" fontId="121" fillId="0" borderId="0" applyNumberFormat="0" applyFill="0" applyBorder="0" applyAlignment="0" applyProtection="0"/>
    <xf numFmtId="10" fontId="111" fillId="78" borderId="48" applyNumberFormat="0" applyBorder="0" applyAlignment="0" applyProtection="0"/>
    <xf numFmtId="42" fontId="122" fillId="0" borderId="0">
      <alignment horizontal="center"/>
    </xf>
    <xf numFmtId="198" fontId="123" fillId="0" borderId="0" applyFont="0" applyFill="0" applyBorder="0" applyAlignment="0" applyProtection="0"/>
    <xf numFmtId="199" fontId="89" fillId="0" borderId="0"/>
    <xf numFmtId="200" fontId="124" fillId="0" borderId="0"/>
    <xf numFmtId="201" fontId="120" fillId="0" borderId="0"/>
    <xf numFmtId="202" fontId="120" fillId="0" borderId="0"/>
    <xf numFmtId="188" fontId="125" fillId="0" borderId="49"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25" fillId="0" borderId="49"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25" fillId="0" borderId="49"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25" fillId="0" borderId="49"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25" fillId="0" borderId="49"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25" fillId="0" borderId="49"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25" fillId="0" borderId="49"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25" fillId="0" borderId="49"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25" fillId="0" borderId="49"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25" fillId="0" borderId="49"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25" fillId="0" borderId="49" applyNumberFormat="0" applyFill="0" applyAlignment="0" applyProtection="0"/>
    <xf numFmtId="0" fontId="75" fillId="0" borderId="41"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25" fillId="0" borderId="49"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25" fillId="0" borderId="49"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25" fillId="0" borderId="49"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25" fillId="0" borderId="49"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25" fillId="0" borderId="49"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25" fillId="0" borderId="49"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25" fillId="0" borderId="49"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25" fillId="0" borderId="49"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25" fillId="0" borderId="49"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25" fillId="0" borderId="49" applyNumberFormat="0" applyFill="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25" fillId="0" borderId="49" applyNumberFormat="0" applyFill="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25" fillId="0" borderId="49" applyNumberFormat="0" applyFill="0" applyAlignment="0" applyProtection="0"/>
    <xf numFmtId="0" fontId="125" fillId="0" borderId="49"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6" fillId="0" borderId="41"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25" fillId="0" borderId="49"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25" fillId="0" borderId="49"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25" fillId="0" borderId="49"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25" fillId="0" borderId="49"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25" fillId="0" borderId="49"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25" fillId="0" borderId="49" applyNumberFormat="0" applyFill="0" applyAlignment="0" applyProtection="0"/>
    <xf numFmtId="188" fontId="125" fillId="0" borderId="49" applyNumberFormat="0" applyFill="0" applyAlignment="0" applyProtection="0"/>
    <xf numFmtId="0" fontId="125" fillId="0" borderId="49"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25" fillId="0" borderId="49" applyNumberFormat="0" applyFill="0" applyAlignment="0" applyProtection="0"/>
    <xf numFmtId="0" fontId="126" fillId="0" borderId="41" applyNumberFormat="0" applyFill="0" applyAlignment="0" applyProtection="0"/>
    <xf numFmtId="0" fontId="10" fillId="0" borderId="0" applyNumberFormat="0" applyFont="0" applyFill="0" applyBorder="0" applyAlignment="0" applyProtection="0"/>
    <xf numFmtId="188" fontId="125" fillId="0" borderId="49"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5" fillId="0" borderId="49" applyNumberFormat="0" applyFill="0" applyAlignment="0" applyProtection="0"/>
    <xf numFmtId="0" fontId="125" fillId="0" borderId="49" applyNumberFormat="0" applyFill="0" applyAlignment="0" applyProtection="0"/>
    <xf numFmtId="0" fontId="126" fillId="0" borderId="41" applyNumberFormat="0" applyFill="0" applyAlignment="0" applyProtection="0"/>
    <xf numFmtId="0" fontId="10" fillId="0" borderId="0" applyNumberFormat="0" applyFont="0" applyFill="0" applyBorder="0" applyAlignment="0" applyProtection="0"/>
    <xf numFmtId="0" fontId="75" fillId="0" borderId="41" applyNumberFormat="0" applyFill="0" applyAlignment="0" applyProtection="0"/>
    <xf numFmtId="0" fontId="126" fillId="0" borderId="41" applyNumberFormat="0" applyFill="0" applyAlignment="0" applyProtection="0"/>
    <xf numFmtId="0" fontId="126" fillId="0" borderId="41" applyNumberFormat="0" applyFill="0" applyAlignment="0" applyProtection="0"/>
    <xf numFmtId="0" fontId="126" fillId="0" borderId="41" applyNumberFormat="0" applyFill="0" applyAlignment="0" applyProtection="0"/>
    <xf numFmtId="188" fontId="127" fillId="79" borderId="50"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8" fillId="79" borderId="50" applyNumberFormat="0" applyAlignment="0" applyProtection="0"/>
    <xf numFmtId="0" fontId="128" fillId="79" borderId="50"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8" fillId="79" borderId="50" applyNumberFormat="0" applyAlignment="0" applyProtection="0"/>
    <xf numFmtId="0" fontId="128" fillId="79" borderId="50"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8" fillId="79" borderId="50" applyNumberFormat="0" applyAlignment="0" applyProtection="0"/>
    <xf numFmtId="0" fontId="128" fillId="79" borderId="50"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8" fillId="79" borderId="50" applyNumberFormat="0" applyAlignment="0" applyProtection="0"/>
    <xf numFmtId="0" fontId="128" fillId="79" borderId="50"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8" fillId="79" borderId="50" applyNumberFormat="0" applyAlignment="0" applyProtection="0"/>
    <xf numFmtId="0" fontId="128" fillId="79" borderId="50"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8" fillId="79" borderId="50" applyNumberFormat="0" applyAlignment="0" applyProtection="0"/>
    <xf numFmtId="0" fontId="128" fillId="79" borderId="50"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8" fillId="79" borderId="50" applyNumberFormat="0" applyAlignment="0" applyProtection="0"/>
    <xf numFmtId="0" fontId="128" fillId="79" borderId="50"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8" fillId="79" borderId="50" applyNumberFormat="0" applyAlignment="0" applyProtection="0"/>
    <xf numFmtId="0" fontId="128" fillId="79" borderId="50"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8" fillId="79" borderId="50" applyNumberFormat="0" applyAlignment="0" applyProtection="0"/>
    <xf numFmtId="0" fontId="128" fillId="79" borderId="50"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8" fillId="79" borderId="50" applyNumberFormat="0" applyAlignment="0" applyProtection="0"/>
    <xf numFmtId="0" fontId="128" fillId="79" borderId="50" applyNumberFormat="0" applyAlignment="0" applyProtection="0"/>
    <xf numFmtId="0" fontId="76" fillId="26" borderId="42"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8" fillId="79" borderId="50" applyNumberFormat="0" applyAlignment="0" applyProtection="0"/>
    <xf numFmtId="0" fontId="128" fillId="79" borderId="50"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8" fillId="79" borderId="50" applyNumberFormat="0" applyAlignment="0" applyProtection="0"/>
    <xf numFmtId="0" fontId="128" fillId="79" borderId="50"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8" fillId="79" borderId="50" applyNumberFormat="0" applyAlignment="0" applyProtection="0"/>
    <xf numFmtId="0" fontId="128" fillId="79" borderId="50"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8" fillId="79" borderId="50" applyNumberFormat="0" applyAlignment="0" applyProtection="0"/>
    <xf numFmtId="0" fontId="128" fillId="79" borderId="50"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8" fillId="79" borderId="50" applyNumberFormat="0" applyAlignment="0" applyProtection="0"/>
    <xf numFmtId="0" fontId="128" fillId="79" borderId="50"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8" fillId="79" borderId="50" applyNumberFormat="0" applyAlignment="0" applyProtection="0"/>
    <xf numFmtId="0" fontId="128" fillId="79" borderId="50"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8" fillId="79" borderId="50" applyNumberFormat="0" applyAlignment="0" applyProtection="0"/>
    <xf numFmtId="0" fontId="128" fillId="79" borderId="50"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8" fillId="79" borderId="50" applyNumberFormat="0" applyAlignment="0" applyProtection="0"/>
    <xf numFmtId="0" fontId="128" fillId="79" borderId="50"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8" fillId="79" borderId="50" applyNumberFormat="0" applyAlignment="0" applyProtection="0"/>
    <xf numFmtId="0" fontId="128" fillId="79" borderId="50"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8" fillId="79" borderId="50" applyNumberFormat="0" applyAlignment="0" applyProtection="0"/>
    <xf numFmtId="0" fontId="128" fillId="79" borderId="50" applyNumberFormat="0" applyAlignment="0" applyProtection="0"/>
    <xf numFmtId="0" fontId="10" fillId="0" borderId="0" applyNumberFormat="0" applyFont="0" applyFill="0" applyBorder="0" applyAlignment="0" applyProtection="0"/>
    <xf numFmtId="0" fontId="128" fillId="79" borderId="50"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8" fillId="79" borderId="50" applyNumberFormat="0" applyAlignment="0" applyProtection="0"/>
    <xf numFmtId="0" fontId="128" fillId="79" borderId="50" applyNumberFormat="0" applyAlignment="0" applyProtection="0"/>
    <xf numFmtId="0" fontId="10" fillId="0" borderId="0" applyNumberFormat="0" applyFont="0" applyFill="0" applyBorder="0" applyAlignment="0" applyProtection="0"/>
    <xf numFmtId="0" fontId="128" fillId="79" borderId="50" applyNumberFormat="0" applyAlignment="0" applyProtection="0"/>
    <xf numFmtId="0" fontId="10" fillId="0" borderId="0" applyNumberFormat="0" applyFont="0" applyFill="0" applyBorder="0" applyAlignment="0" applyProtection="0"/>
    <xf numFmtId="0" fontId="128" fillId="79" borderId="50" applyNumberFormat="0" applyAlignment="0" applyProtection="0"/>
    <xf numFmtId="0" fontId="10" fillId="0" borderId="0" applyNumberFormat="0" applyFont="0" applyFill="0" applyBorder="0" applyAlignment="0" applyProtection="0"/>
    <xf numFmtId="0" fontId="128" fillId="79" borderId="50"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8" fillId="79" borderId="50" applyNumberFormat="0" applyAlignment="0" applyProtection="0"/>
    <xf numFmtId="0" fontId="128" fillId="79" borderId="50"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7" fillId="79" borderId="50" applyNumberFormat="0" applyAlignment="0" applyProtection="0"/>
    <xf numFmtId="0" fontId="127" fillId="79" borderId="50"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8" fillId="79" borderId="50" applyNumberFormat="0" applyAlignment="0" applyProtection="0"/>
    <xf numFmtId="0" fontId="128" fillId="79" borderId="50"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9" fillId="26" borderId="42" applyNumberFormat="0" applyAlignment="0" applyProtection="0"/>
    <xf numFmtId="0" fontId="95" fillId="0" borderId="42" applyNumberFormat="0" applyFill="0" applyAlignment="0" applyProtection="0"/>
    <xf numFmtId="188" fontId="127" fillId="79" borderId="50"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8" fillId="79" borderId="50" applyNumberFormat="0" applyAlignment="0" applyProtection="0"/>
    <xf numFmtId="0" fontId="128" fillId="79" borderId="50"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8" fillId="79" borderId="50" applyNumberFormat="0" applyAlignment="0" applyProtection="0"/>
    <xf numFmtId="0" fontId="128" fillId="79" borderId="50"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8" fillId="79" borderId="50" applyNumberFormat="0" applyAlignment="0" applyProtection="0"/>
    <xf numFmtId="0" fontId="128" fillId="79" borderId="50"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8" fillId="79" borderId="50" applyNumberFormat="0" applyAlignment="0" applyProtection="0"/>
    <xf numFmtId="0" fontId="128" fillId="79" borderId="50" applyNumberFormat="0" applyAlignment="0" applyProtection="0"/>
    <xf numFmtId="188" fontId="127" fillId="79" borderId="50" applyNumberFormat="0" applyAlignment="0" applyProtection="0"/>
    <xf numFmtId="188" fontId="127" fillId="79" borderId="50" applyNumberFormat="0" applyAlignment="0" applyProtection="0"/>
    <xf numFmtId="0" fontId="128" fillId="79" borderId="50" applyNumberFormat="0" applyAlignment="0" applyProtection="0"/>
    <xf numFmtId="0" fontId="10" fillId="0" borderId="0" applyNumberFormat="0" applyFont="0" applyFill="0" applyBorder="0" applyAlignment="0" applyProtection="0"/>
    <xf numFmtId="0" fontId="128" fillId="79" borderId="50"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7" fillId="79" borderId="50" applyNumberFormat="0" applyAlignment="0" applyProtection="0"/>
    <xf numFmtId="0" fontId="127" fillId="79" borderId="50" applyNumberFormat="0" applyAlignment="0" applyProtection="0"/>
    <xf numFmtId="0" fontId="129" fillId="26" borderId="42" applyNumberFormat="0" applyAlignment="0" applyProtection="0"/>
    <xf numFmtId="0" fontId="10" fillId="0" borderId="0" applyNumberFormat="0" applyFont="0" applyFill="0" applyBorder="0" applyAlignment="0" applyProtection="0"/>
    <xf numFmtId="188" fontId="127" fillId="79" borderId="50" applyNumberFormat="0" applyAlignment="0" applyProtection="0"/>
    <xf numFmtId="188" fontId="127" fillId="79" borderId="50"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27" fillId="79" borderId="50" applyNumberFormat="0" applyAlignment="0" applyProtection="0"/>
    <xf numFmtId="0" fontId="127" fillId="79" borderId="50" applyNumberFormat="0" applyAlignment="0" applyProtection="0"/>
    <xf numFmtId="0" fontId="129" fillId="26" borderId="42" applyNumberFormat="0" applyAlignment="0" applyProtection="0"/>
    <xf numFmtId="0" fontId="10" fillId="0" borderId="0" applyNumberFormat="0" applyFont="0" applyFill="0" applyBorder="0" applyAlignment="0" applyProtection="0"/>
    <xf numFmtId="0" fontId="76" fillId="26" borderId="42" applyNumberFormat="0" applyAlignment="0" applyProtection="0"/>
    <xf numFmtId="0" fontId="129" fillId="26" borderId="42" applyNumberFormat="0" applyAlignment="0" applyProtection="0"/>
    <xf numFmtId="0" fontId="95" fillId="0" borderId="42" applyNumberFormat="0" applyFill="0" applyAlignment="0" applyProtection="0"/>
    <xf numFmtId="0" fontId="95" fillId="0" borderId="42" applyNumberFormat="0" applyFill="0" applyAlignment="0" applyProtection="0"/>
    <xf numFmtId="0" fontId="129" fillId="26" borderId="42" applyNumberFormat="0" applyAlignment="0" applyProtection="0"/>
    <xf numFmtId="0" fontId="95" fillId="0" borderId="42" applyNumberFormat="0" applyFill="0" applyAlignment="0" applyProtection="0"/>
    <xf numFmtId="1" fontId="130" fillId="80" borderId="0"/>
    <xf numFmtId="203" fontId="83" fillId="0" borderId="0" applyFont="0" applyFill="0" applyBorder="0" applyAlignment="0" applyProtection="0"/>
    <xf numFmtId="194" fontId="131" fillId="0" borderId="0"/>
    <xf numFmtId="38" fontId="92" fillId="0" borderId="0" applyFont="0" applyFill="0" applyBorder="0" applyAlignment="0" applyProtection="0"/>
    <xf numFmtId="204" fontId="132" fillId="0" borderId="0" applyFont="0" applyFill="0" applyBorder="0" applyAlignment="0" applyProtection="0"/>
    <xf numFmtId="205" fontId="132" fillId="0" borderId="0" applyFont="0" applyFill="0" applyBorder="0" applyAlignment="0" applyProtection="0"/>
    <xf numFmtId="206" fontId="132" fillId="0" borderId="0" applyFont="0" applyFill="0" applyBorder="0" applyAlignment="0" applyProtection="0"/>
    <xf numFmtId="207" fontId="132" fillId="0" borderId="0" applyFont="0" applyFill="0" applyBorder="0" applyAlignment="0" applyProtection="0"/>
    <xf numFmtId="188" fontId="133" fillId="0" borderId="51"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4" fillId="0" borderId="52" applyNumberFormat="0" applyFill="0" applyAlignment="0" applyProtection="0"/>
    <xf numFmtId="0" fontId="134" fillId="0" borderId="52"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4" fillId="0" borderId="52" applyNumberFormat="0" applyFill="0" applyAlignment="0" applyProtection="0"/>
    <xf numFmtId="0" fontId="134" fillId="0" borderId="52"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4" fillId="0" borderId="52" applyNumberFormat="0" applyFill="0" applyAlignment="0" applyProtection="0"/>
    <xf numFmtId="0" fontId="134" fillId="0" borderId="52"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4" fillId="0" borderId="52" applyNumberFormat="0" applyFill="0" applyAlignment="0" applyProtection="0"/>
    <xf numFmtId="0" fontId="134" fillId="0" borderId="52"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4" fillId="0" borderId="52" applyNumberFormat="0" applyFill="0" applyAlignment="0" applyProtection="0"/>
    <xf numFmtId="0" fontId="134" fillId="0" borderId="52"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4" fillId="0" borderId="52" applyNumberFormat="0" applyFill="0" applyAlignment="0" applyProtection="0"/>
    <xf numFmtId="0" fontId="134" fillId="0" borderId="52"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4" fillId="0" borderId="52" applyNumberFormat="0" applyFill="0" applyAlignment="0" applyProtection="0"/>
    <xf numFmtId="0" fontId="134" fillId="0" borderId="52"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4" fillId="0" borderId="52" applyNumberFormat="0" applyFill="0" applyAlignment="0" applyProtection="0"/>
    <xf numFmtId="0" fontId="134" fillId="0" borderId="52"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4" fillId="0" borderId="52" applyNumberFormat="0" applyFill="0" applyAlignment="0" applyProtection="0"/>
    <xf numFmtId="0" fontId="134" fillId="0" borderId="52"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4" fillId="0" borderId="52" applyNumberFormat="0" applyFill="0" applyAlignment="0" applyProtection="0"/>
    <xf numFmtId="0" fontId="134" fillId="0" borderId="52" applyNumberFormat="0" applyFill="0" applyAlignment="0" applyProtection="0"/>
    <xf numFmtId="0" fontId="66" fillId="0" borderId="3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4" fillId="0" borderId="52" applyNumberFormat="0" applyFill="0" applyAlignment="0" applyProtection="0"/>
    <xf numFmtId="0" fontId="134" fillId="0" borderId="52"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4" fillId="0" borderId="52" applyNumberFormat="0" applyFill="0" applyAlignment="0" applyProtection="0"/>
    <xf numFmtId="0" fontId="134" fillId="0" borderId="52"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4" fillId="0" borderId="52" applyNumberFormat="0" applyFill="0" applyAlignment="0" applyProtection="0"/>
    <xf numFmtId="0" fontId="134" fillId="0" borderId="52"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4" fillId="0" borderId="52" applyNumberFormat="0" applyFill="0" applyAlignment="0" applyProtection="0"/>
    <xf numFmtId="0" fontId="134" fillId="0" borderId="52"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4" fillId="0" borderId="52" applyNumberFormat="0" applyFill="0" applyAlignment="0" applyProtection="0"/>
    <xf numFmtId="0" fontId="134" fillId="0" borderId="52"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4" fillId="0" borderId="52" applyNumberFormat="0" applyFill="0" applyAlignment="0" applyProtection="0"/>
    <xf numFmtId="0" fontId="134" fillId="0" borderId="52"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4" fillId="0" borderId="52" applyNumberFormat="0" applyFill="0" applyAlignment="0" applyProtection="0"/>
    <xf numFmtId="0" fontId="134" fillId="0" borderId="52"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4" fillId="0" borderId="52" applyNumberFormat="0" applyFill="0" applyAlignment="0" applyProtection="0"/>
    <xf numFmtId="0" fontId="134" fillId="0" borderId="52"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4" fillId="0" borderId="52" applyNumberFormat="0" applyFill="0" applyAlignment="0" applyProtection="0"/>
    <xf numFmtId="0" fontId="134" fillId="0" borderId="52"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4" fillId="0" borderId="52" applyNumberFormat="0" applyFill="0" applyAlignment="0" applyProtection="0"/>
    <xf numFmtId="0" fontId="134" fillId="0" borderId="52" applyNumberFormat="0" applyFill="0" applyAlignment="0" applyProtection="0"/>
    <xf numFmtId="0" fontId="10" fillId="0" borderId="0" applyNumberFormat="0" applyFont="0" applyFill="0" applyBorder="0" applyAlignment="0" applyProtection="0"/>
    <xf numFmtId="0" fontId="134" fillId="0" borderId="52"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4" fillId="0" borderId="52" applyNumberFormat="0" applyFill="0" applyAlignment="0" applyProtection="0"/>
    <xf numFmtId="0" fontId="134" fillId="0" borderId="52" applyNumberFormat="0" applyFill="0" applyAlignment="0" applyProtection="0"/>
    <xf numFmtId="0" fontId="10" fillId="0" borderId="0" applyNumberFormat="0" applyFont="0" applyFill="0" applyBorder="0" applyAlignment="0" applyProtection="0"/>
    <xf numFmtId="0" fontId="134" fillId="0" borderId="52" applyNumberFormat="0" applyFill="0" applyAlignment="0" applyProtection="0"/>
    <xf numFmtId="0" fontId="10" fillId="0" borderId="0" applyNumberFormat="0" applyFont="0" applyFill="0" applyBorder="0" applyAlignment="0" applyProtection="0"/>
    <xf numFmtId="0" fontId="134" fillId="0" borderId="52" applyNumberFormat="0" applyFill="0" applyAlignment="0" applyProtection="0"/>
    <xf numFmtId="0" fontId="10" fillId="0" borderId="0" applyNumberFormat="0" applyFont="0" applyFill="0" applyBorder="0" applyAlignment="0" applyProtection="0"/>
    <xf numFmtId="0" fontId="134" fillId="0" borderId="52"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4" fillId="0" borderId="52" applyNumberFormat="0" applyFill="0" applyAlignment="0" applyProtection="0"/>
    <xf numFmtId="0" fontId="134" fillId="0" borderId="52"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3" fillId="0" borderId="51" applyNumberFormat="0" applyFill="0" applyAlignment="0" applyProtection="0"/>
    <xf numFmtId="0" fontId="133" fillId="0" borderId="51"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4" fillId="0" borderId="52" applyNumberFormat="0" applyFill="0" applyAlignment="0" applyProtection="0"/>
    <xf numFmtId="0" fontId="134" fillId="0" borderId="52"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5" fillId="0" borderId="36" applyNumberFormat="0" applyFill="0" applyAlignment="0" applyProtection="0"/>
    <xf numFmtId="0" fontId="136" fillId="0" borderId="3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4" fillId="0" borderId="52" applyNumberFormat="0" applyFill="0" applyAlignment="0" applyProtection="0"/>
    <xf numFmtId="0" fontId="134" fillId="0" borderId="52"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4" fillId="0" borderId="52" applyNumberFormat="0" applyFill="0" applyAlignment="0" applyProtection="0"/>
    <xf numFmtId="0" fontId="134" fillId="0" borderId="52"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4" fillId="0" borderId="52" applyNumberFormat="0" applyFill="0" applyAlignment="0" applyProtection="0"/>
    <xf numFmtId="0" fontId="134" fillId="0" borderId="52"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4" fillId="0" borderId="52" applyNumberFormat="0" applyFill="0" applyAlignment="0" applyProtection="0"/>
    <xf numFmtId="0" fontId="134" fillId="0" borderId="52" applyNumberFormat="0" applyFill="0" applyAlignment="0" applyProtection="0"/>
    <xf numFmtId="188" fontId="133" fillId="0" borderId="51" applyNumberFormat="0" applyFill="0" applyAlignment="0" applyProtection="0"/>
    <xf numFmtId="0" fontId="134" fillId="0" borderId="52" applyNumberFormat="0" applyFill="0" applyAlignment="0" applyProtection="0"/>
    <xf numFmtId="0" fontId="133" fillId="0" borderId="51" applyNumberFormat="0" applyFill="0" applyAlignment="0" applyProtection="0"/>
    <xf numFmtId="0" fontId="133" fillId="0" borderId="51" applyNumberFormat="0" applyFill="0" applyAlignment="0" applyProtection="0"/>
    <xf numFmtId="0" fontId="135" fillId="0" borderId="36" applyNumberFormat="0" applyFill="0" applyAlignment="0" applyProtection="0"/>
    <xf numFmtId="0" fontId="10" fillId="0" borderId="0" applyNumberFormat="0" applyFont="0" applyFill="0" applyBorder="0" applyAlignment="0" applyProtection="0"/>
    <xf numFmtId="188" fontId="133" fillId="0" borderId="51" applyNumberFormat="0" applyFill="0" applyAlignment="0" applyProtection="0"/>
    <xf numFmtId="0" fontId="133" fillId="0" borderId="51" applyNumberFormat="0" applyFill="0" applyAlignment="0" applyProtection="0"/>
    <xf numFmtId="0" fontId="133" fillId="0" borderId="51" applyNumberFormat="0" applyFill="0" applyAlignment="0" applyProtection="0"/>
    <xf numFmtId="0" fontId="135" fillId="0" borderId="36" applyNumberFormat="0" applyFill="0" applyAlignment="0" applyProtection="0"/>
    <xf numFmtId="0" fontId="10" fillId="0" borderId="0" applyNumberFormat="0" applyFont="0" applyFill="0" applyBorder="0" applyAlignment="0" applyProtection="0"/>
    <xf numFmtId="0" fontId="66" fillId="0" borderId="36" applyNumberFormat="0" applyFill="0" applyAlignment="0" applyProtection="0"/>
    <xf numFmtId="0" fontId="135" fillId="0" borderId="36" applyNumberFormat="0" applyFill="0" applyAlignment="0" applyProtection="0"/>
    <xf numFmtId="0" fontId="136" fillId="0" borderId="36" applyNumberFormat="0" applyFill="0" applyAlignment="0" applyProtection="0"/>
    <xf numFmtId="0" fontId="136" fillId="0" borderId="36" applyNumberFormat="0" applyFill="0" applyAlignment="0" applyProtection="0"/>
    <xf numFmtId="0" fontId="135" fillId="0" borderId="36" applyNumberFormat="0" applyFill="0" applyAlignment="0" applyProtection="0"/>
    <xf numFmtId="0" fontId="136" fillId="0" borderId="36" applyNumberFormat="0" applyFill="0" applyAlignment="0" applyProtection="0"/>
    <xf numFmtId="188" fontId="137" fillId="0" borderId="53"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8" fillId="0" borderId="54" applyNumberFormat="0" applyFill="0" applyAlignment="0" applyProtection="0"/>
    <xf numFmtId="0" fontId="138" fillId="0" borderId="54"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8" fillId="0" borderId="54" applyNumberFormat="0" applyFill="0" applyAlignment="0" applyProtection="0"/>
    <xf numFmtId="0" fontId="138" fillId="0" borderId="54"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8" fillId="0" borderId="54" applyNumberFormat="0" applyFill="0" applyAlignment="0" applyProtection="0"/>
    <xf numFmtId="0" fontId="138" fillId="0" borderId="54"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8" fillId="0" borderId="54" applyNumberFormat="0" applyFill="0" applyAlignment="0" applyProtection="0"/>
    <xf numFmtId="0" fontId="138" fillId="0" borderId="54"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8" fillId="0" borderId="54" applyNumberFormat="0" applyFill="0" applyAlignment="0" applyProtection="0"/>
    <xf numFmtId="0" fontId="138" fillId="0" borderId="54"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8" fillId="0" borderId="54" applyNumberFormat="0" applyFill="0" applyAlignment="0" applyProtection="0"/>
    <xf numFmtId="0" fontId="138" fillId="0" borderId="54"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8" fillId="0" borderId="54" applyNumberFormat="0" applyFill="0" applyAlignment="0" applyProtection="0"/>
    <xf numFmtId="0" fontId="138" fillId="0" borderId="54"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8" fillId="0" borderId="54" applyNumberFormat="0" applyFill="0" applyAlignment="0" applyProtection="0"/>
    <xf numFmtId="0" fontId="138" fillId="0" borderId="54"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8" fillId="0" borderId="54" applyNumberFormat="0" applyFill="0" applyAlignment="0" applyProtection="0"/>
    <xf numFmtId="0" fontId="138" fillId="0" borderId="54"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8" fillId="0" borderId="54" applyNumberFormat="0" applyFill="0" applyAlignment="0" applyProtection="0"/>
    <xf numFmtId="0" fontId="138" fillId="0" borderId="54" applyNumberFormat="0" applyFill="0" applyAlignment="0" applyProtection="0"/>
    <xf numFmtId="0" fontId="67" fillId="0" borderId="37"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8" fillId="0" borderId="54" applyNumberFormat="0" applyFill="0" applyAlignment="0" applyProtection="0"/>
    <xf numFmtId="0" fontId="138" fillId="0" borderId="54"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8" fillId="0" borderId="54" applyNumberFormat="0" applyFill="0" applyAlignment="0" applyProtection="0"/>
    <xf numFmtId="0" fontId="138" fillId="0" borderId="54"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8" fillId="0" borderId="54" applyNumberFormat="0" applyFill="0" applyAlignment="0" applyProtection="0"/>
    <xf numFmtId="0" fontId="138" fillId="0" borderId="54"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8" fillId="0" borderId="54" applyNumberFormat="0" applyFill="0" applyAlignment="0" applyProtection="0"/>
    <xf numFmtId="0" fontId="138" fillId="0" borderId="54"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8" fillId="0" borderId="54" applyNumberFormat="0" applyFill="0" applyAlignment="0" applyProtection="0"/>
    <xf numFmtId="0" fontId="138" fillId="0" borderId="54"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8" fillId="0" borderId="54" applyNumberFormat="0" applyFill="0" applyAlignment="0" applyProtection="0"/>
    <xf numFmtId="0" fontId="138" fillId="0" borderId="54"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8" fillId="0" borderId="54" applyNumberFormat="0" applyFill="0" applyAlignment="0" applyProtection="0"/>
    <xf numFmtId="0" fontId="138" fillId="0" borderId="54"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8" fillId="0" borderId="54" applyNumberFormat="0" applyFill="0" applyAlignment="0" applyProtection="0"/>
    <xf numFmtId="0" fontId="138" fillId="0" borderId="54"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8" fillId="0" borderId="54" applyNumberFormat="0" applyFill="0" applyAlignment="0" applyProtection="0"/>
    <xf numFmtId="0" fontId="138" fillId="0" borderId="54"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8" fillId="0" borderId="54" applyNumberFormat="0" applyFill="0" applyAlignment="0" applyProtection="0"/>
    <xf numFmtId="0" fontId="138" fillId="0" borderId="54" applyNumberFormat="0" applyFill="0" applyAlignment="0" applyProtection="0"/>
    <xf numFmtId="0" fontId="10" fillId="0" borderId="0" applyNumberFormat="0" applyFont="0" applyFill="0" applyBorder="0" applyAlignment="0" applyProtection="0"/>
    <xf numFmtId="0" fontId="138" fillId="0" borderId="54"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8" fillId="0" borderId="54" applyNumberFormat="0" applyFill="0" applyAlignment="0" applyProtection="0"/>
    <xf numFmtId="0" fontId="138" fillId="0" borderId="54" applyNumberFormat="0" applyFill="0" applyAlignment="0" applyProtection="0"/>
    <xf numFmtId="0" fontId="10" fillId="0" borderId="0" applyNumberFormat="0" applyFont="0" applyFill="0" applyBorder="0" applyAlignment="0" applyProtection="0"/>
    <xf numFmtId="0" fontId="138" fillId="0" borderId="54" applyNumberFormat="0" applyFill="0" applyAlignment="0" applyProtection="0"/>
    <xf numFmtId="0" fontId="10" fillId="0" borderId="0" applyNumberFormat="0" applyFont="0" applyFill="0" applyBorder="0" applyAlignment="0" applyProtection="0"/>
    <xf numFmtId="0" fontId="138" fillId="0" borderId="54" applyNumberFormat="0" applyFill="0" applyAlignment="0" applyProtection="0"/>
    <xf numFmtId="0" fontId="10" fillId="0" borderId="0" applyNumberFormat="0" applyFont="0" applyFill="0" applyBorder="0" applyAlignment="0" applyProtection="0"/>
    <xf numFmtId="0" fontId="138" fillId="0" borderId="54"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8" fillId="0" borderId="54" applyNumberFormat="0" applyFill="0" applyAlignment="0" applyProtection="0"/>
    <xf numFmtId="0" fontId="138" fillId="0" borderId="54"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7" fillId="0" borderId="53" applyNumberFormat="0" applyFill="0" applyAlignment="0" applyProtection="0"/>
    <xf numFmtId="0" fontId="137" fillId="0" borderId="53"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8" fillId="0" borderId="54" applyNumberFormat="0" applyFill="0" applyAlignment="0" applyProtection="0"/>
    <xf numFmtId="0" fontId="138" fillId="0" borderId="54"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9" fillId="0" borderId="37" applyNumberFormat="0" applyFill="0" applyAlignment="0" applyProtection="0"/>
    <xf numFmtId="0" fontId="136" fillId="0" borderId="37"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8" fillId="0" borderId="54" applyNumberFormat="0" applyFill="0" applyAlignment="0" applyProtection="0"/>
    <xf numFmtId="0" fontId="138" fillId="0" borderId="54"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8" fillId="0" borderId="54" applyNumberFormat="0" applyFill="0" applyAlignment="0" applyProtection="0"/>
    <xf numFmtId="0" fontId="138" fillId="0" borderId="54"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8" fillId="0" borderId="54" applyNumberFormat="0" applyFill="0" applyAlignment="0" applyProtection="0"/>
    <xf numFmtId="0" fontId="138" fillId="0" borderId="54"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8" fillId="0" borderId="54" applyNumberFormat="0" applyFill="0" applyAlignment="0" applyProtection="0"/>
    <xf numFmtId="0" fontId="138" fillId="0" borderId="54" applyNumberFormat="0" applyFill="0" applyAlignment="0" applyProtection="0"/>
    <xf numFmtId="188" fontId="137" fillId="0" borderId="53" applyNumberFormat="0" applyFill="0" applyAlignment="0" applyProtection="0"/>
    <xf numFmtId="0" fontId="138" fillId="0" borderId="54" applyNumberFormat="0" applyFill="0" applyAlignment="0" applyProtection="0"/>
    <xf numFmtId="0" fontId="137" fillId="0" borderId="53" applyNumberFormat="0" applyFill="0" applyAlignment="0" applyProtection="0"/>
    <xf numFmtId="0" fontId="137" fillId="0" borderId="53" applyNumberFormat="0" applyFill="0" applyAlignment="0" applyProtection="0"/>
    <xf numFmtId="0" fontId="139" fillId="0" borderId="37" applyNumberFormat="0" applyFill="0" applyAlignment="0" applyProtection="0"/>
    <xf numFmtId="0" fontId="10" fillId="0" borderId="0" applyNumberFormat="0" applyFont="0" applyFill="0" applyBorder="0" applyAlignment="0" applyProtection="0"/>
    <xf numFmtId="188" fontId="137" fillId="0" borderId="53" applyNumberFormat="0" applyFill="0" applyAlignment="0" applyProtection="0"/>
    <xf numFmtId="0" fontId="137" fillId="0" borderId="53" applyNumberFormat="0" applyFill="0" applyAlignment="0" applyProtection="0"/>
    <xf numFmtId="0" fontId="137" fillId="0" borderId="53" applyNumberFormat="0" applyFill="0" applyAlignment="0" applyProtection="0"/>
    <xf numFmtId="0" fontId="139" fillId="0" borderId="37" applyNumberFormat="0" applyFill="0" applyAlignment="0" applyProtection="0"/>
    <xf numFmtId="0" fontId="10" fillId="0" borderId="0" applyNumberFormat="0" applyFont="0" applyFill="0" applyBorder="0" applyAlignment="0" applyProtection="0"/>
    <xf numFmtId="0" fontId="67" fillId="0" borderId="37" applyNumberFormat="0" applyFill="0" applyAlignment="0" applyProtection="0"/>
    <xf numFmtId="0" fontId="139" fillId="0" borderId="37" applyNumberFormat="0" applyFill="0" applyAlignment="0" applyProtection="0"/>
    <xf numFmtId="0" fontId="136" fillId="0" borderId="37" applyNumberFormat="0" applyFill="0" applyAlignment="0" applyProtection="0"/>
    <xf numFmtId="0" fontId="136" fillId="0" borderId="37" applyNumberFormat="0" applyFill="0" applyAlignment="0" applyProtection="0"/>
    <xf numFmtId="0" fontId="139" fillId="0" borderId="37" applyNumberFormat="0" applyFill="0" applyAlignment="0" applyProtection="0"/>
    <xf numFmtId="0" fontId="136" fillId="0" borderId="37" applyNumberFormat="0" applyFill="0" applyAlignment="0" applyProtection="0"/>
    <xf numFmtId="188" fontId="140"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56" applyNumberFormat="0" applyFill="0" applyAlignment="0" applyProtection="0"/>
    <xf numFmtId="0" fontId="141"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56" applyNumberFormat="0" applyFill="0" applyAlignment="0" applyProtection="0"/>
    <xf numFmtId="0" fontId="141"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56" applyNumberFormat="0" applyFill="0" applyAlignment="0" applyProtection="0"/>
    <xf numFmtId="0" fontId="141"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56" applyNumberFormat="0" applyFill="0" applyAlignment="0" applyProtection="0"/>
    <xf numFmtId="0" fontId="141"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56" applyNumberFormat="0" applyFill="0" applyAlignment="0" applyProtection="0"/>
    <xf numFmtId="0" fontId="141"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56" applyNumberFormat="0" applyFill="0" applyAlignment="0" applyProtection="0"/>
    <xf numFmtId="0" fontId="141"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56" applyNumberFormat="0" applyFill="0" applyAlignment="0" applyProtection="0"/>
    <xf numFmtId="0" fontId="141"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56" applyNumberFormat="0" applyFill="0" applyAlignment="0" applyProtection="0"/>
    <xf numFmtId="0" fontId="141"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56" applyNumberFormat="0" applyFill="0" applyAlignment="0" applyProtection="0"/>
    <xf numFmtId="0" fontId="141"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56" applyNumberFormat="0" applyFill="0" applyAlignment="0" applyProtection="0"/>
    <xf numFmtId="0" fontId="141" fillId="0" borderId="56" applyNumberFormat="0" applyFill="0" applyAlignment="0" applyProtection="0"/>
    <xf numFmtId="0" fontId="68" fillId="0" borderId="38"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56" applyNumberFormat="0" applyFill="0" applyAlignment="0" applyProtection="0"/>
    <xf numFmtId="0" fontId="141"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56" applyNumberFormat="0" applyFill="0" applyAlignment="0" applyProtection="0"/>
    <xf numFmtId="0" fontId="141"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56" applyNumberFormat="0" applyFill="0" applyAlignment="0" applyProtection="0"/>
    <xf numFmtId="0" fontId="141"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56" applyNumberFormat="0" applyFill="0" applyAlignment="0" applyProtection="0"/>
    <xf numFmtId="0" fontId="141"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56" applyNumberFormat="0" applyFill="0" applyAlignment="0" applyProtection="0"/>
    <xf numFmtId="0" fontId="141"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56" applyNumberFormat="0" applyFill="0" applyAlignment="0" applyProtection="0"/>
    <xf numFmtId="0" fontId="141"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56" applyNumberFormat="0" applyFill="0" applyAlignment="0" applyProtection="0"/>
    <xf numFmtId="0" fontId="141"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56" applyNumberFormat="0" applyFill="0" applyAlignment="0" applyProtection="0"/>
    <xf numFmtId="0" fontId="141"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56" applyNumberFormat="0" applyFill="0" applyAlignment="0" applyProtection="0"/>
    <xf numFmtId="0" fontId="141"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56" applyNumberFormat="0" applyFill="0" applyAlignment="0" applyProtection="0"/>
    <xf numFmtId="0" fontId="141" fillId="0" borderId="56" applyNumberFormat="0" applyFill="0" applyAlignment="0" applyProtection="0"/>
    <xf numFmtId="0" fontId="10" fillId="0" borderId="0" applyNumberFormat="0" applyFont="0" applyFill="0" applyBorder="0" applyAlignment="0" applyProtection="0"/>
    <xf numFmtId="0" fontId="141"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56" applyNumberFormat="0" applyFill="0" applyAlignment="0" applyProtection="0"/>
    <xf numFmtId="0" fontId="141" fillId="0" borderId="56" applyNumberFormat="0" applyFill="0" applyAlignment="0" applyProtection="0"/>
    <xf numFmtId="0" fontId="10" fillId="0" borderId="0" applyNumberFormat="0" applyFont="0" applyFill="0" applyBorder="0" applyAlignment="0" applyProtection="0"/>
    <xf numFmtId="0" fontId="141" fillId="0" borderId="56" applyNumberFormat="0" applyFill="0" applyAlignment="0" applyProtection="0"/>
    <xf numFmtId="0" fontId="10" fillId="0" borderId="0" applyNumberFormat="0" applyFont="0" applyFill="0" applyBorder="0" applyAlignment="0" applyProtection="0"/>
    <xf numFmtId="0" fontId="141" fillId="0" borderId="56" applyNumberFormat="0" applyFill="0" applyAlignment="0" applyProtection="0"/>
    <xf numFmtId="0" fontId="10" fillId="0" borderId="0" applyNumberFormat="0" applyFont="0" applyFill="0" applyBorder="0" applyAlignment="0" applyProtection="0"/>
    <xf numFmtId="0" fontId="141"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56" applyNumberFormat="0" applyFill="0" applyAlignment="0" applyProtection="0"/>
    <xf numFmtId="0" fontId="141"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0" fillId="0" borderId="55" applyNumberFormat="0" applyFill="0" applyAlignment="0" applyProtection="0"/>
    <xf numFmtId="0" fontId="140"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56" applyNumberFormat="0" applyFill="0" applyAlignment="0" applyProtection="0"/>
    <xf numFmtId="0" fontId="141"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2" fillId="0" borderId="38" applyNumberFormat="0" applyFill="0" applyAlignment="0" applyProtection="0"/>
    <xf numFmtId="0" fontId="136" fillId="0" borderId="38"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56" applyNumberFormat="0" applyFill="0" applyAlignment="0" applyProtection="0"/>
    <xf numFmtId="0" fontId="141"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56" applyNumberFormat="0" applyFill="0" applyAlignment="0" applyProtection="0"/>
    <xf numFmtId="0" fontId="141"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56" applyNumberFormat="0" applyFill="0" applyAlignment="0" applyProtection="0"/>
    <xf numFmtId="0" fontId="141"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56" applyNumberFormat="0" applyFill="0" applyAlignment="0" applyProtection="0"/>
    <xf numFmtId="0" fontId="141" fillId="0" borderId="56" applyNumberFormat="0" applyFill="0" applyAlignment="0" applyProtection="0"/>
    <xf numFmtId="188" fontId="140" fillId="0" borderId="55" applyNumberFormat="0" applyFill="0" applyAlignment="0" applyProtection="0"/>
    <xf numFmtId="0" fontId="141" fillId="0" borderId="56" applyNumberFormat="0" applyFill="0" applyAlignment="0" applyProtection="0"/>
    <xf numFmtId="0" fontId="140" fillId="0" borderId="55" applyNumberFormat="0" applyFill="0" applyAlignment="0" applyProtection="0"/>
    <xf numFmtId="0" fontId="140" fillId="0" borderId="55" applyNumberFormat="0" applyFill="0" applyAlignment="0" applyProtection="0"/>
    <xf numFmtId="0" fontId="142" fillId="0" borderId="38" applyNumberFormat="0" applyFill="0" applyAlignment="0" applyProtection="0"/>
    <xf numFmtId="0" fontId="10" fillId="0" borderId="0" applyNumberFormat="0" applyFont="0" applyFill="0" applyBorder="0" applyAlignment="0" applyProtection="0"/>
    <xf numFmtId="188" fontId="140" fillId="0" borderId="55" applyNumberFormat="0" applyFill="0" applyAlignment="0" applyProtection="0"/>
    <xf numFmtId="0" fontId="140" fillId="0" borderId="55" applyNumberFormat="0" applyFill="0" applyAlignment="0" applyProtection="0"/>
    <xf numFmtId="0" fontId="140" fillId="0" borderId="55" applyNumberFormat="0" applyFill="0" applyAlignment="0" applyProtection="0"/>
    <xf numFmtId="0" fontId="142" fillId="0" borderId="38" applyNumberFormat="0" applyFill="0" applyAlignment="0" applyProtection="0"/>
    <xf numFmtId="0" fontId="10" fillId="0" borderId="0" applyNumberFormat="0" applyFont="0" applyFill="0" applyBorder="0" applyAlignment="0" applyProtection="0"/>
    <xf numFmtId="0" fontId="68" fillId="0" borderId="38" applyNumberFormat="0" applyFill="0" applyAlignment="0" applyProtection="0"/>
    <xf numFmtId="0" fontId="142" fillId="0" borderId="38" applyNumberFormat="0" applyFill="0" applyAlignment="0" applyProtection="0"/>
    <xf numFmtId="0" fontId="136" fillId="0" borderId="38" applyNumberFormat="0" applyFill="0" applyAlignment="0" applyProtection="0"/>
    <xf numFmtId="0" fontId="136" fillId="0" borderId="38" applyNumberFormat="0" applyFill="0" applyAlignment="0" applyProtection="0"/>
    <xf numFmtId="0" fontId="142" fillId="0" borderId="38" applyNumberFormat="0" applyFill="0" applyAlignment="0" applyProtection="0"/>
    <xf numFmtId="0" fontId="136" fillId="0" borderId="38" applyNumberFormat="0" applyFill="0" applyAlignment="0" applyProtection="0"/>
    <xf numFmtId="188" fontId="140"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68"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0" fillId="0" borderId="0" applyNumberFormat="0" applyFont="0" applyFill="0" applyBorder="0" applyAlignment="0" applyProtection="0"/>
    <xf numFmtId="0" fontId="141"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0" fillId="0" borderId="0" applyNumberFormat="0" applyFont="0" applyFill="0" applyBorder="0" applyAlignment="0" applyProtection="0"/>
    <xf numFmtId="0" fontId="141" fillId="0" borderId="0" applyNumberFormat="0" applyFill="0" applyBorder="0" applyAlignment="0" applyProtection="0"/>
    <xf numFmtId="0" fontId="10" fillId="0" borderId="0" applyNumberFormat="0" applyFont="0" applyFill="0" applyBorder="0" applyAlignment="0" applyProtection="0"/>
    <xf numFmtId="0" fontId="141" fillId="0" borderId="0" applyNumberFormat="0" applyFill="0" applyBorder="0" applyAlignment="0" applyProtection="0"/>
    <xf numFmtId="0" fontId="10" fillId="0" borderId="0" applyNumberFormat="0" applyFont="0" applyFill="0" applyBorder="0" applyAlignment="0" applyProtection="0"/>
    <xf numFmtId="0" fontId="141"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2" fillId="0" borderId="0" applyNumberFormat="0" applyFill="0" applyBorder="0" applyAlignment="0" applyProtection="0"/>
    <xf numFmtId="0" fontId="136"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188" fontId="140" fillId="0" borderId="0" applyNumberFormat="0" applyFill="0" applyBorder="0" applyAlignment="0" applyProtection="0"/>
    <xf numFmtId="0" fontId="141"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2" fillId="0" borderId="0" applyNumberFormat="0" applyFill="0" applyBorder="0" applyAlignment="0" applyProtection="0"/>
    <xf numFmtId="0" fontId="10" fillId="0" borderId="0" applyNumberFormat="0" applyFont="0" applyFill="0" applyBorder="0" applyAlignment="0" applyProtection="0"/>
    <xf numFmtId="188"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2" fillId="0" borderId="0" applyNumberFormat="0" applyFill="0" applyBorder="0" applyAlignment="0" applyProtection="0"/>
    <xf numFmtId="0" fontId="10" fillId="0" borderId="0" applyNumberFormat="0" applyFont="0" applyFill="0" applyBorder="0" applyAlignment="0" applyProtection="0"/>
    <xf numFmtId="0" fontId="68" fillId="0" borderId="0" applyNumberFormat="0" applyFill="0" applyBorder="0" applyAlignment="0" applyProtection="0"/>
    <xf numFmtId="0" fontId="142"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42" fillId="0" borderId="0" applyNumberFormat="0" applyFill="0" applyBorder="0" applyAlignment="0" applyProtection="0"/>
    <xf numFmtId="0" fontId="136" fillId="0" borderId="0" applyNumberFormat="0" applyFill="0" applyBorder="0" applyAlignment="0" applyProtection="0"/>
    <xf numFmtId="188" fontId="143" fillId="63"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43" fillId="63"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43" fillId="63"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43" fillId="63"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43" fillId="63"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43" fillId="63"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43" fillId="63"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43" fillId="63"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43" fillId="63"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43" fillId="63"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43" fillId="63" borderId="0" applyNumberFormat="0" applyBorder="0" applyAlignment="0" applyProtection="0"/>
    <xf numFmtId="0" fontId="71" fillId="23"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43" fillId="63"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43" fillId="63"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43" fillId="63"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43" fillId="63"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43" fillId="63"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43" fillId="63"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43" fillId="63"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43" fillId="63"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43" fillId="63"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43" fillId="63" borderId="0" applyNumberFormat="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43" fillId="63" borderId="0" applyNumberFormat="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43" fillId="63" borderId="0" applyNumberFormat="0" applyBorder="0" applyAlignment="0" applyProtection="0"/>
    <xf numFmtId="0" fontId="143" fillId="63"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4" fillId="23" borderId="0" applyNumberFormat="0" applyBorder="0" applyAlignment="0" applyProtection="0"/>
    <xf numFmtId="0" fontId="14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43" fillId="63"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43" fillId="63"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43" fillId="63"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43" fillId="63"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43" fillId="63"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43" fillId="63" borderId="0" applyNumberFormat="0" applyBorder="0" applyAlignment="0" applyProtection="0"/>
    <xf numFmtId="188" fontId="143" fillId="63" borderId="0" applyNumberFormat="0" applyBorder="0" applyAlignment="0" applyProtection="0"/>
    <xf numFmtId="0" fontId="143" fillId="63"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43" fillId="63" borderId="0" applyNumberFormat="0" applyBorder="0" applyAlignment="0" applyProtection="0"/>
    <xf numFmtId="0" fontId="144" fillId="23" borderId="0" applyNumberFormat="0" applyBorder="0" applyAlignment="0" applyProtection="0"/>
    <xf numFmtId="0" fontId="10" fillId="0" borderId="0" applyNumberFormat="0" applyFont="0" applyFill="0" applyBorder="0" applyAlignment="0" applyProtection="0"/>
    <xf numFmtId="188" fontId="143" fillId="63" borderId="0" applyNumberFormat="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3" fillId="63" borderId="0" applyNumberFormat="0" applyBorder="0" applyAlignment="0" applyProtection="0"/>
    <xf numFmtId="0" fontId="143" fillId="63" borderId="0" applyNumberFormat="0" applyBorder="0" applyAlignment="0" applyProtection="0"/>
    <xf numFmtId="0" fontId="144" fillId="23" borderId="0" applyNumberFormat="0" applyBorder="0" applyAlignment="0" applyProtection="0"/>
    <xf numFmtId="0" fontId="10" fillId="0" borderId="0" applyNumberFormat="0" applyFont="0" applyFill="0" applyBorder="0" applyAlignment="0" applyProtection="0"/>
    <xf numFmtId="0" fontId="71" fillId="23" borderId="0" applyNumberFormat="0" applyBorder="0" applyAlignment="0" applyProtection="0"/>
    <xf numFmtId="0" fontId="144" fillId="23" borderId="0" applyNumberFormat="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4" fillId="23" borderId="0" applyNumberFormat="0" applyBorder="0" applyAlignment="0" applyProtection="0"/>
    <xf numFmtId="0" fontId="144" fillId="0" borderId="0" applyNumberFormat="0" applyFill="0" applyBorder="0" applyAlignment="0" applyProtection="0"/>
    <xf numFmtId="0" fontId="83" fillId="0" borderId="0"/>
    <xf numFmtId="0" fontId="87" fillId="0" borderId="0"/>
    <xf numFmtId="0" fontId="17" fillId="0" borderId="0"/>
    <xf numFmtId="0" fontId="17"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83" fillId="0" borderId="0"/>
    <xf numFmtId="0" fontId="145" fillId="0" borderId="0"/>
    <xf numFmtId="0" fontId="146" fillId="0" borderId="0" applyNumberFormat="0" applyFont="0" applyFill="0" applyBorder="0" applyAlignment="0" applyProtection="0">
      <protection locked="0"/>
    </xf>
    <xf numFmtId="188" fontId="56" fillId="0" borderId="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188" fontId="56" fillId="0" borderId="0"/>
    <xf numFmtId="0" fontId="87" fillId="0" borderId="0"/>
    <xf numFmtId="0" fontId="87" fillId="0" borderId="0"/>
    <xf numFmtId="0" fontId="17" fillId="0" borderId="0" applyNumberFormat="0" applyFont="0" applyFill="0" applyBorder="0" applyAlignment="0" applyProtection="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87" fillId="0" borderId="0"/>
    <xf numFmtId="0" fontId="87" fillId="0" borderId="0"/>
    <xf numFmtId="0" fontId="17" fillId="0" borderId="0"/>
    <xf numFmtId="0" fontId="87" fillId="0" borderId="0"/>
    <xf numFmtId="0" fontId="87" fillId="0" borderId="0"/>
    <xf numFmtId="0" fontId="17" fillId="0" borderId="0" applyNumberFormat="0" applyFont="0" applyFill="0" applyBorder="0" applyAlignment="0" applyProtection="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17" fillId="0" borderId="0" applyNumberFormat="0" applyFont="0" applyFill="0" applyBorder="0" applyAlignment="0" applyProtection="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17" fillId="0" borderId="0" applyNumberFormat="0" applyFont="0" applyFill="0" applyBorder="0" applyAlignment="0" applyProtection="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17" fillId="0" borderId="0" applyNumberFormat="0" applyFont="0" applyFill="0" applyBorder="0" applyAlignment="0" applyProtection="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17" fillId="0" borderId="0" applyNumberFormat="0" applyFont="0" applyFill="0" applyBorder="0" applyAlignment="0" applyProtection="0"/>
    <xf numFmtId="0" fontId="87" fillId="0" borderId="0"/>
    <xf numFmtId="0" fontId="87" fillId="0" borderId="0"/>
    <xf numFmtId="0" fontId="87" fillId="0" borderId="0"/>
    <xf numFmtId="0" fontId="87" fillId="0" borderId="0"/>
    <xf numFmtId="0" fontId="87" fillId="0" borderId="0"/>
    <xf numFmtId="0" fontId="87" fillId="0" borderId="0"/>
    <xf numFmtId="0" fontId="17" fillId="0" borderId="0" applyNumberFormat="0" applyFont="0" applyFill="0" applyBorder="0" applyAlignment="0" applyProtection="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8" fontId="56" fillId="0" borderId="0"/>
    <xf numFmtId="188" fontId="56" fillId="0" borderId="0"/>
    <xf numFmtId="0" fontId="17" fillId="0" borderId="0"/>
    <xf numFmtId="0" fontId="87" fillId="0" borderId="0"/>
    <xf numFmtId="0" fontId="87" fillId="0" borderId="0"/>
    <xf numFmtId="0" fontId="17" fillId="0" borderId="0"/>
    <xf numFmtId="0" fontId="17" fillId="0" borderId="0"/>
    <xf numFmtId="0" fontId="17"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8" fontId="87" fillId="0" borderId="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17" fillId="0" borderId="0"/>
    <xf numFmtId="0" fontId="87" fillId="0" borderId="0"/>
    <xf numFmtId="0" fontId="87" fillId="0" borderId="0"/>
    <xf numFmtId="0" fontId="17" fillId="0" borderId="0" applyNumberFormat="0" applyFont="0" applyFill="0" applyBorder="0" applyAlignment="0" applyProtection="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87" fillId="0" borderId="0"/>
    <xf numFmtId="0" fontId="87" fillId="0" borderId="0"/>
    <xf numFmtId="0" fontId="17" fillId="0" borderId="0" applyNumberFormat="0" applyFont="0" applyFill="0" applyBorder="0" applyAlignment="0" applyProtection="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17" fillId="0" borderId="0" applyNumberFormat="0" applyFont="0" applyFill="0" applyBorder="0" applyAlignment="0" applyProtection="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17" fillId="0" borderId="0" applyNumberFormat="0" applyFont="0" applyFill="0" applyBorder="0" applyAlignment="0" applyProtection="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17" fillId="0" borderId="0" applyNumberFormat="0" applyFont="0" applyFill="0" applyBorder="0" applyAlignment="0" applyProtection="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17" fillId="0" borderId="0" applyNumberFormat="0" applyFont="0" applyFill="0" applyBorder="0" applyAlignment="0" applyProtection="0"/>
    <xf numFmtId="0" fontId="87" fillId="0" borderId="0"/>
    <xf numFmtId="0" fontId="87" fillId="0" borderId="0"/>
    <xf numFmtId="0" fontId="87" fillId="0" borderId="0"/>
    <xf numFmtId="0" fontId="87" fillId="0" borderId="0"/>
    <xf numFmtId="0" fontId="87" fillId="0" borderId="0"/>
    <xf numFmtId="0" fontId="87" fillId="0" borderId="0"/>
    <xf numFmtId="0" fontId="17" fillId="0" borderId="0" applyNumberFormat="0" applyFont="0" applyFill="0" applyBorder="0" applyAlignment="0" applyProtection="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87" fillId="0" borderId="0"/>
    <xf numFmtId="0" fontId="4" fillId="0" borderId="0"/>
    <xf numFmtId="0" fontId="4" fillId="0" borderId="0"/>
    <xf numFmtId="0" fontId="147" fillId="0" borderId="0"/>
    <xf numFmtId="0" fontId="4" fillId="0" borderId="0"/>
    <xf numFmtId="0" fontId="4" fillId="0" borderId="0"/>
    <xf numFmtId="0" fontId="4" fillId="0" borderId="0"/>
    <xf numFmtId="0" fontId="4" fillId="0" borderId="0"/>
    <xf numFmtId="0" fontId="4" fillId="0" borderId="0"/>
    <xf numFmtId="0" fontId="107" fillId="0" borderId="0"/>
    <xf numFmtId="0" fontId="4" fillId="0" borderId="0"/>
    <xf numFmtId="0" fontId="4" fillId="0" borderId="0"/>
    <xf numFmtId="188" fontId="56" fillId="0" borderId="0"/>
    <xf numFmtId="188" fontId="56" fillId="0" borderId="0"/>
    <xf numFmtId="0" fontId="17" fillId="0" borderId="0"/>
    <xf numFmtId="0" fontId="87" fillId="0" borderId="0"/>
    <xf numFmtId="0" fontId="17" fillId="0" borderId="0"/>
    <xf numFmtId="0" fontId="87" fillId="0" borderId="0"/>
    <xf numFmtId="0" fontId="17" fillId="0" borderId="0" applyNumberFormat="0" applyFont="0" applyFill="0" applyBorder="0" applyAlignment="0" applyProtection="0"/>
    <xf numFmtId="0" fontId="4" fillId="0" borderId="0"/>
    <xf numFmtId="0" fontId="4" fillId="0" borderId="0"/>
    <xf numFmtId="0" fontId="4" fillId="0" borderId="0"/>
    <xf numFmtId="0" fontId="4" fillId="0" borderId="0"/>
    <xf numFmtId="188" fontId="56" fillId="0" borderId="0"/>
    <xf numFmtId="188" fontId="56" fillId="0" borderId="0"/>
    <xf numFmtId="0" fontId="17" fillId="0" borderId="0"/>
    <xf numFmtId="0" fontId="17" fillId="0" borderId="0"/>
    <xf numFmtId="0" fontId="83" fillId="0" borderId="0"/>
    <xf numFmtId="0" fontId="17" fillId="0" borderId="0" applyNumberFormat="0" applyFill="0" applyBorder="0" applyAlignment="0" applyProtection="0"/>
    <xf numFmtId="188" fontId="87" fillId="0" borderId="0"/>
    <xf numFmtId="0" fontId="17" fillId="0" borderId="0"/>
    <xf numFmtId="0" fontId="17" fillId="0" borderId="0"/>
    <xf numFmtId="0" fontId="87" fillId="0" borderId="0"/>
    <xf numFmtId="0" fontId="87" fillId="0" borderId="0"/>
    <xf numFmtId="0" fontId="17" fillId="0" borderId="0" applyNumberFormat="0" applyFont="0" applyFill="0" applyBorder="0" applyAlignment="0" applyProtection="0"/>
    <xf numFmtId="0" fontId="83" fillId="0" borderId="0"/>
    <xf numFmtId="0" fontId="87" fillId="0" borderId="0"/>
    <xf numFmtId="188" fontId="56" fillId="0" borderId="0"/>
    <xf numFmtId="188" fontId="56" fillId="0" borderId="0"/>
    <xf numFmtId="0" fontId="17" fillId="0" borderId="0"/>
    <xf numFmtId="0" fontId="17" fillId="0" borderId="0"/>
    <xf numFmtId="0" fontId="83" fillId="0" borderId="0"/>
    <xf numFmtId="0" fontId="17" fillId="0" borderId="0" applyNumberFormat="0" applyFill="0" applyBorder="0" applyAlignment="0" applyProtection="0"/>
    <xf numFmtId="0" fontId="17" fillId="0" borderId="0"/>
    <xf numFmtId="0" fontId="17" fillId="0" borderId="0"/>
    <xf numFmtId="0" fontId="83" fillId="0" borderId="0"/>
    <xf numFmtId="0" fontId="17" fillId="0" borderId="0" applyNumberFormat="0" applyFill="0" applyBorder="0" applyAlignment="0" applyProtection="0"/>
    <xf numFmtId="188" fontId="56" fillId="0" borderId="0"/>
    <xf numFmtId="0" fontId="17" fillId="0" borderId="0"/>
    <xf numFmtId="0" fontId="83" fillId="0" borderId="0"/>
    <xf numFmtId="0" fontId="87" fillId="0" borderId="0"/>
    <xf numFmtId="188" fontId="56" fillId="0" borderId="0"/>
    <xf numFmtId="0" fontId="17" fillId="0" borderId="0"/>
    <xf numFmtId="0" fontId="17" fillId="0" borderId="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83" fillId="0" borderId="0"/>
    <xf numFmtId="188" fontId="87" fillId="0" borderId="0"/>
    <xf numFmtId="188" fontId="93" fillId="0" borderId="0" applyFill="0" applyProtection="0"/>
    <xf numFmtId="0" fontId="84" fillId="0" borderId="0"/>
    <xf numFmtId="0" fontId="84" fillId="0" borderId="0"/>
    <xf numFmtId="0" fontId="17" fillId="0" borderId="0" applyNumberFormat="0" applyFont="0" applyFill="0" applyBorder="0" applyAlignment="0" applyProtection="0"/>
    <xf numFmtId="0" fontId="84" fillId="0" borderId="0"/>
    <xf numFmtId="0" fontId="87" fillId="0" borderId="0"/>
    <xf numFmtId="0" fontId="84" fillId="0" borderId="0"/>
    <xf numFmtId="0" fontId="84" fillId="0" borderId="0"/>
    <xf numFmtId="0" fontId="17" fillId="0" borderId="0" applyNumberFormat="0" applyFont="0" applyFill="0" applyBorder="0" applyAlignment="0" applyProtection="0"/>
    <xf numFmtId="189" fontId="87" fillId="0" borderId="0"/>
    <xf numFmtId="0" fontId="84" fillId="0" borderId="0"/>
    <xf numFmtId="0" fontId="84" fillId="0" borderId="0"/>
    <xf numFmtId="0" fontId="17" fillId="0" borderId="0" applyNumberFormat="0" applyFont="0" applyFill="0" applyBorder="0" applyAlignment="0" applyProtection="0"/>
    <xf numFmtId="0" fontId="17" fillId="0" borderId="0" applyNumberFormat="0" applyFont="0" applyFill="0" applyBorder="0" applyAlignment="0" applyProtection="0"/>
    <xf numFmtId="0" fontId="84" fillId="0" borderId="0"/>
    <xf numFmtId="0" fontId="84" fillId="0" borderId="0"/>
    <xf numFmtId="0" fontId="17" fillId="0" borderId="0" applyNumberFormat="0" applyFont="0" applyFill="0" applyBorder="0" applyAlignment="0" applyProtection="0"/>
    <xf numFmtId="0" fontId="84" fillId="0" borderId="0"/>
    <xf numFmtId="0" fontId="84" fillId="0" borderId="0"/>
    <xf numFmtId="0" fontId="17" fillId="0" borderId="0" applyNumberFormat="0" applyFont="0" applyFill="0" applyBorder="0" applyAlignment="0" applyProtection="0"/>
    <xf numFmtId="0" fontId="84" fillId="0" borderId="0"/>
    <xf numFmtId="0" fontId="84" fillId="0" borderId="0"/>
    <xf numFmtId="0" fontId="17" fillId="0" borderId="0" applyNumberFormat="0" applyFont="0" applyFill="0" applyBorder="0" applyAlignment="0" applyProtection="0"/>
    <xf numFmtId="0" fontId="84" fillId="0" borderId="0"/>
    <xf numFmtId="0" fontId="84" fillId="0" borderId="0"/>
    <xf numFmtId="0" fontId="17" fillId="0" borderId="0" applyNumberFormat="0" applyFont="0" applyFill="0" applyBorder="0" applyAlignment="0" applyProtection="0"/>
    <xf numFmtId="0" fontId="84" fillId="0" borderId="0"/>
    <xf numFmtId="0" fontId="84" fillId="0" borderId="0"/>
    <xf numFmtId="0" fontId="17" fillId="0" borderId="0" applyNumberFormat="0" applyFont="0" applyFill="0" applyBorder="0" applyAlignment="0" applyProtection="0"/>
    <xf numFmtId="0" fontId="84" fillId="0" borderId="0"/>
    <xf numFmtId="0" fontId="84" fillId="0" borderId="0"/>
    <xf numFmtId="0" fontId="17" fillId="0" borderId="0" applyNumberFormat="0" applyFont="0" applyFill="0" applyBorder="0" applyAlignment="0" applyProtection="0"/>
    <xf numFmtId="0" fontId="84" fillId="0" borderId="0"/>
    <xf numFmtId="0" fontId="84" fillId="0" borderId="0"/>
    <xf numFmtId="188" fontId="4" fillId="0" borderId="0"/>
    <xf numFmtId="0" fontId="87" fillId="0" borderId="0"/>
    <xf numFmtId="0" fontId="4" fillId="0" borderId="0" applyNumberFormat="0" applyFill="0" applyBorder="0" applyAlignment="0" applyProtection="0"/>
    <xf numFmtId="189" fontId="82"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7" fillId="0" borderId="0"/>
    <xf numFmtId="0" fontId="4" fillId="0" borderId="0"/>
    <xf numFmtId="0" fontId="17" fillId="0" borderId="0" applyNumberFormat="0" applyFont="0" applyFill="0" applyBorder="0" applyAlignment="0" applyProtection="0"/>
    <xf numFmtId="188" fontId="4" fillId="0" borderId="0"/>
    <xf numFmtId="188" fontId="17" fillId="0" borderId="0"/>
    <xf numFmtId="188" fontId="17" fillId="0" borderId="0"/>
    <xf numFmtId="0" fontId="4" fillId="0" borderId="0"/>
    <xf numFmtId="0" fontId="4" fillId="0" borderId="0"/>
    <xf numFmtId="0" fontId="83" fillId="0" borderId="0"/>
    <xf numFmtId="0" fontId="4" fillId="0" borderId="0"/>
    <xf numFmtId="0" fontId="4" fillId="0" borderId="0" applyNumberFormat="0" applyFill="0" applyBorder="0" applyAlignment="0" applyProtection="0"/>
    <xf numFmtId="188" fontId="10" fillId="0" borderId="0"/>
    <xf numFmtId="0" fontId="4" fillId="0" borderId="0"/>
    <xf numFmtId="0" fontId="4" fillId="0" borderId="0"/>
    <xf numFmtId="0" fontId="4" fillId="0" borderId="0" applyNumberFormat="0" applyFill="0" applyBorder="0" applyAlignment="0" applyProtection="0"/>
    <xf numFmtId="188" fontId="10" fillId="0" borderId="0"/>
    <xf numFmtId="0" fontId="4" fillId="0" borderId="0" applyNumberFormat="0" applyFill="0" applyBorder="0" applyAlignment="0" applyProtection="0"/>
    <xf numFmtId="188" fontId="10" fillId="0" borderId="0"/>
    <xf numFmtId="0" fontId="4" fillId="0" borderId="0" applyNumberFormat="0" applyFill="0" applyBorder="0" applyAlignment="0" applyProtection="0"/>
    <xf numFmtId="188" fontId="10" fillId="0" borderId="0"/>
    <xf numFmtId="0" fontId="4" fillId="0" borderId="0" applyNumberFormat="0" applyFill="0" applyBorder="0" applyAlignment="0" applyProtection="0"/>
    <xf numFmtId="188" fontId="10" fillId="0" borderId="0"/>
    <xf numFmtId="0" fontId="4" fillId="0" borderId="0" applyNumberFormat="0" applyFill="0" applyBorder="0" applyAlignment="0" applyProtection="0"/>
    <xf numFmtId="188" fontId="10" fillId="0" borderId="0"/>
    <xf numFmtId="0" fontId="4" fillId="0" borderId="0" applyNumberFormat="0" applyFill="0" applyBorder="0" applyAlignment="0" applyProtection="0"/>
    <xf numFmtId="188" fontId="10" fillId="0" borderId="0"/>
    <xf numFmtId="0" fontId="4" fillId="0" borderId="0" applyNumberFormat="0" applyFill="0" applyBorder="0" applyAlignment="0" applyProtection="0"/>
    <xf numFmtId="0" fontId="17" fillId="0" borderId="0" applyNumberFormat="0" applyFont="0" applyFill="0" applyBorder="0" applyAlignment="0" applyProtection="0"/>
    <xf numFmtId="0" fontId="84" fillId="0" borderId="0"/>
    <xf numFmtId="0" fontId="84" fillId="0" borderId="0"/>
    <xf numFmtId="0" fontId="17" fillId="0" borderId="0" applyNumberFormat="0" applyFont="0" applyFill="0" applyBorder="0" applyAlignment="0" applyProtection="0"/>
    <xf numFmtId="0" fontId="84" fillId="0" borderId="0"/>
    <xf numFmtId="0" fontId="84" fillId="0" borderId="0"/>
    <xf numFmtId="0" fontId="17" fillId="0" borderId="0" applyNumberFormat="0" applyFont="0" applyFill="0" applyBorder="0" applyAlignment="0" applyProtection="0"/>
    <xf numFmtId="0" fontId="84" fillId="0" borderId="0"/>
    <xf numFmtId="0" fontId="84" fillId="0" borderId="0"/>
    <xf numFmtId="0" fontId="17" fillId="0" borderId="0" applyNumberFormat="0" applyFont="0" applyFill="0" applyBorder="0" applyAlignment="0" applyProtection="0"/>
    <xf numFmtId="0" fontId="87" fillId="0" borderId="0"/>
    <xf numFmtId="0" fontId="87" fillId="0" borderId="0"/>
    <xf numFmtId="0" fontId="17" fillId="0" borderId="0" applyNumberFormat="0" applyFont="0" applyFill="0" applyBorder="0" applyAlignment="0" applyProtection="0"/>
    <xf numFmtId="0" fontId="87" fillId="0" borderId="0"/>
    <xf numFmtId="0" fontId="87" fillId="0" borderId="0"/>
    <xf numFmtId="0" fontId="17" fillId="0" borderId="0" applyNumberFormat="0" applyFill="0" applyBorder="0" applyAlignment="0" applyProtection="0"/>
    <xf numFmtId="0" fontId="105" fillId="0" borderId="0"/>
    <xf numFmtId="0" fontId="105" fillId="0" borderId="0"/>
    <xf numFmtId="0" fontId="17" fillId="0" borderId="0" applyNumberFormat="0" applyFill="0" applyBorder="0" applyAlignment="0" applyProtection="0"/>
    <xf numFmtId="0" fontId="105" fillId="0" borderId="0"/>
    <xf numFmtId="0" fontId="105" fillId="0" borderId="0"/>
    <xf numFmtId="0" fontId="17" fillId="0" borderId="0" applyNumberFormat="0" applyFont="0" applyFill="0" applyBorder="0" applyAlignment="0" applyProtection="0"/>
    <xf numFmtId="0" fontId="87" fillId="0" borderId="0"/>
    <xf numFmtId="0" fontId="87" fillId="0" borderId="0"/>
    <xf numFmtId="0" fontId="87" fillId="0" borderId="0"/>
    <xf numFmtId="188" fontId="87" fillId="0" borderId="0"/>
    <xf numFmtId="0" fontId="87" fillId="0" borderId="0"/>
    <xf numFmtId="0" fontId="87" fillId="0" borderId="0"/>
    <xf numFmtId="0" fontId="17" fillId="0" borderId="0" applyNumberFormat="0" applyFont="0" applyFill="0" applyBorder="0" applyAlignment="0" applyProtection="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xf numFmtId="0" fontId="17" fillId="0" borderId="0" applyNumberFormat="0" applyFill="0" applyBorder="0" applyAlignment="0" applyProtection="0"/>
    <xf numFmtId="0" fontId="17" fillId="0" borderId="0" applyNumberFormat="0" applyFont="0" applyFill="0" applyBorder="0" applyAlignment="0" applyProtection="0"/>
    <xf numFmtId="0" fontId="87" fillId="0" borderId="0"/>
    <xf numFmtId="0" fontId="17" fillId="0" borderId="0" applyNumberFormat="0" applyFont="0" applyFill="0" applyBorder="0" applyAlignment="0" applyProtection="0"/>
    <xf numFmtId="0" fontId="17" fillId="0" borderId="0" applyNumberFormat="0" applyFont="0" applyFill="0" applyBorder="0" applyAlignment="0" applyProtection="0"/>
    <xf numFmtId="0" fontId="148" fillId="0" borderId="0"/>
    <xf numFmtId="188" fontId="87" fillId="0" borderId="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xf numFmtId="0" fontId="83" fillId="0" borderId="0"/>
    <xf numFmtId="0" fontId="17" fillId="0" borderId="0" applyNumberFormat="0" applyFont="0" applyFill="0" applyBorder="0" applyAlignment="0" applyProtection="0"/>
    <xf numFmtId="0" fontId="83" fillId="0" borderId="0"/>
    <xf numFmtId="0" fontId="83" fillId="0" borderId="0"/>
    <xf numFmtId="0" fontId="84" fillId="0" borderId="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188" fontId="83" fillId="0" borderId="0"/>
    <xf numFmtId="188" fontId="83" fillId="0" borderId="0"/>
    <xf numFmtId="0" fontId="84" fillId="0" borderId="0"/>
    <xf numFmtId="188" fontId="17" fillId="0" borderId="0"/>
    <xf numFmtId="0" fontId="84" fillId="0" borderId="0"/>
    <xf numFmtId="0" fontId="17" fillId="0" borderId="0" applyNumberFormat="0" applyFont="0" applyFill="0" applyBorder="0" applyAlignment="0" applyProtection="0"/>
    <xf numFmtId="188" fontId="83" fillId="0" borderId="0"/>
    <xf numFmtId="0" fontId="84" fillId="0" borderId="0"/>
    <xf numFmtId="0" fontId="84" fillId="0" borderId="0"/>
    <xf numFmtId="0" fontId="17" fillId="0" borderId="0" applyNumberFormat="0" applyFont="0" applyFill="0" applyBorder="0" applyAlignment="0" applyProtection="0"/>
    <xf numFmtId="188" fontId="83" fillId="0" borderId="0"/>
    <xf numFmtId="0" fontId="84" fillId="0" borderId="0"/>
    <xf numFmtId="0" fontId="84" fillId="0" borderId="0"/>
    <xf numFmtId="0" fontId="17" fillId="0" borderId="0" applyNumberFormat="0" applyFont="0" applyFill="0" applyBorder="0" applyAlignment="0" applyProtection="0"/>
    <xf numFmtId="188" fontId="83" fillId="0" borderId="0"/>
    <xf numFmtId="0" fontId="84" fillId="0" borderId="0"/>
    <xf numFmtId="0" fontId="84" fillId="0" borderId="0"/>
    <xf numFmtId="0" fontId="17" fillId="0" borderId="0" applyNumberFormat="0" applyFont="0" applyFill="0" applyBorder="0" applyAlignment="0" applyProtection="0"/>
    <xf numFmtId="188" fontId="83" fillId="0" borderId="0"/>
    <xf numFmtId="0" fontId="84" fillId="0" borderId="0"/>
    <xf numFmtId="0" fontId="84" fillId="0" borderId="0"/>
    <xf numFmtId="0" fontId="17" fillId="0" borderId="0" applyNumberFormat="0" applyFont="0" applyFill="0" applyBorder="0" applyAlignment="0" applyProtection="0"/>
    <xf numFmtId="188" fontId="87" fillId="0" borderId="0"/>
    <xf numFmtId="188" fontId="56" fillId="0" borderId="0"/>
    <xf numFmtId="0" fontId="17" fillId="0" borderId="0"/>
    <xf numFmtId="0" fontId="17" fillId="0" borderId="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83" fillId="0" borderId="0"/>
    <xf numFmtId="0" fontId="56" fillId="0" borderId="0"/>
    <xf numFmtId="0" fontId="4" fillId="0" borderId="0"/>
    <xf numFmtId="0" fontId="87" fillId="0" borderId="0"/>
    <xf numFmtId="0" fontId="17" fillId="0" borderId="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83" fillId="0" borderId="0"/>
    <xf numFmtId="0" fontId="4" fillId="0" borderId="0"/>
    <xf numFmtId="0" fontId="4" fillId="0" borderId="0"/>
    <xf numFmtId="0" fontId="17" fillId="0" borderId="0"/>
    <xf numFmtId="0" fontId="17" fillId="0" borderId="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83" fillId="0" borderId="0"/>
    <xf numFmtId="0" fontId="4" fillId="0" borderId="0"/>
    <xf numFmtId="0" fontId="4" fillId="0" borderId="0"/>
    <xf numFmtId="0" fontId="17" fillId="0" borderId="0"/>
    <xf numFmtId="0" fontId="17" fillId="0" borderId="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83" fillId="0" borderId="0"/>
    <xf numFmtId="0" fontId="4" fillId="0" borderId="0"/>
    <xf numFmtId="0" fontId="4" fillId="0" borderId="0"/>
    <xf numFmtId="0" fontId="17" fillId="0" borderId="0"/>
    <xf numFmtId="0" fontId="17" fillId="0" borderId="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83" fillId="0" borderId="0"/>
    <xf numFmtId="0" fontId="4" fillId="0" borderId="0"/>
    <xf numFmtId="0" fontId="4" fillId="0" borderId="0"/>
    <xf numFmtId="0" fontId="17" fillId="0" borderId="0"/>
    <xf numFmtId="0" fontId="83" fillId="0" borderId="0"/>
    <xf numFmtId="0" fontId="4" fillId="0" borderId="0"/>
    <xf numFmtId="0" fontId="4" fillId="0" borderId="0"/>
    <xf numFmtId="0" fontId="17" fillId="0" borderId="0"/>
    <xf numFmtId="0" fontId="122" fillId="0" borderId="0"/>
    <xf numFmtId="0" fontId="4" fillId="0" borderId="0"/>
    <xf numFmtId="0" fontId="4" fillId="0" borderId="0"/>
    <xf numFmtId="0" fontId="17" fillId="0" borderId="0"/>
    <xf numFmtId="0" fontId="122" fillId="0" borderId="0"/>
    <xf numFmtId="0" fontId="4" fillId="0" borderId="0"/>
    <xf numFmtId="0" fontId="4" fillId="0" borderId="0"/>
    <xf numFmtId="0" fontId="17" fillId="0" borderId="0"/>
    <xf numFmtId="0" fontId="122" fillId="0" borderId="0"/>
    <xf numFmtId="0" fontId="4" fillId="0" borderId="0"/>
    <xf numFmtId="0" fontId="4" fillId="0" borderId="0"/>
    <xf numFmtId="0" fontId="4" fillId="0" borderId="0"/>
    <xf numFmtId="0" fontId="17" fillId="0" borderId="0"/>
    <xf numFmtId="0" fontId="4" fillId="0" borderId="0"/>
    <xf numFmtId="0" fontId="105" fillId="0" borderId="0"/>
    <xf numFmtId="0" fontId="4" fillId="0" borderId="0"/>
    <xf numFmtId="188" fontId="87" fillId="0" borderId="0"/>
    <xf numFmtId="0" fontId="87" fillId="0" borderId="0"/>
    <xf numFmtId="0" fontId="17" fillId="0" borderId="0"/>
    <xf numFmtId="0" fontId="17" fillId="0" borderId="0" applyNumberFormat="0" applyFill="0" applyBorder="0" applyAlignment="0" applyProtection="0"/>
    <xf numFmtId="188"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xf numFmtId="0" fontId="4" fillId="0" borderId="0" applyNumberFormat="0" applyFill="0" applyBorder="0" applyAlignment="0" applyProtection="0"/>
    <xf numFmtId="0" fontId="4" fillId="0" borderId="0"/>
    <xf numFmtId="0" fontId="4" fillId="0" borderId="0"/>
    <xf numFmtId="0" fontId="87" fillId="0" borderId="0"/>
    <xf numFmtId="0" fontId="17" fillId="0" borderId="0" applyNumberFormat="0" applyFont="0" applyFill="0" applyBorder="0" applyAlignment="0" applyProtection="0"/>
    <xf numFmtId="188"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8" fontId="10"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xf numFmtId="0" fontId="17" fillId="0" borderId="0"/>
    <xf numFmtId="0" fontId="17" fillId="0" borderId="0"/>
    <xf numFmtId="0" fontId="17" fillId="0" borderId="0" applyNumberFormat="0" applyFill="0" applyBorder="0" applyAlignment="0" applyProtection="0"/>
    <xf numFmtId="0" fontId="87" fillId="0" borderId="0"/>
    <xf numFmtId="0" fontId="17" fillId="0" borderId="0" applyNumberFormat="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188" fontId="10" fillId="0" borderId="0"/>
    <xf numFmtId="0" fontId="87"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06" fillId="0" borderId="0"/>
    <xf numFmtId="0" fontId="17" fillId="0" borderId="0" applyNumberFormat="0" applyFont="0" applyFill="0" applyBorder="0" applyAlignment="0" applyProtection="0"/>
    <xf numFmtId="188" fontId="10" fillId="0" borderId="0"/>
    <xf numFmtId="0" fontId="106" fillId="0" borderId="0"/>
    <xf numFmtId="0" fontId="17" fillId="0" borderId="0" applyNumberFormat="0" applyFont="0" applyFill="0" applyBorder="0" applyAlignment="0" applyProtection="0"/>
    <xf numFmtId="188" fontId="10" fillId="0" borderId="0"/>
    <xf numFmtId="0" fontId="106" fillId="0" borderId="0"/>
    <xf numFmtId="0" fontId="17" fillId="0" borderId="0" applyNumberFormat="0" applyFont="0" applyFill="0" applyBorder="0" applyAlignment="0" applyProtection="0"/>
    <xf numFmtId="188" fontId="10" fillId="0" borderId="0"/>
    <xf numFmtId="0" fontId="106" fillId="0" borderId="0"/>
    <xf numFmtId="0" fontId="17" fillId="0" borderId="0"/>
    <xf numFmtId="188" fontId="10" fillId="0" borderId="0"/>
    <xf numFmtId="0" fontId="106" fillId="0" borderId="0"/>
    <xf numFmtId="0" fontId="17" fillId="0" borderId="0"/>
    <xf numFmtId="188" fontId="10" fillId="0" borderId="0"/>
    <xf numFmtId="188" fontId="87" fillId="0" borderId="0"/>
    <xf numFmtId="0" fontId="4" fillId="0" borderId="0"/>
    <xf numFmtId="0" fontId="17" fillId="0" borderId="0"/>
    <xf numFmtId="0" fontId="122" fillId="0" borderId="0"/>
    <xf numFmtId="0" fontId="4" fillId="0" borderId="0"/>
    <xf numFmtId="188" fontId="17" fillId="0" borderId="0"/>
    <xf numFmtId="0" fontId="4" fillId="0" borderId="0"/>
    <xf numFmtId="0" fontId="17" fillId="0" borderId="0"/>
    <xf numFmtId="0" fontId="4" fillId="0" borderId="0"/>
    <xf numFmtId="0" fontId="122" fillId="0" borderId="0"/>
    <xf numFmtId="0" fontId="4" fillId="0" borderId="0"/>
    <xf numFmtId="0" fontId="17" fillId="0" borderId="0"/>
    <xf numFmtId="0" fontId="83" fillId="0" borderId="0"/>
    <xf numFmtId="0" fontId="4" fillId="0" borderId="0"/>
    <xf numFmtId="0" fontId="4" fillId="0" borderId="0"/>
    <xf numFmtId="0" fontId="17" fillId="0" borderId="0"/>
    <xf numFmtId="0" fontId="83" fillId="0" borderId="0"/>
    <xf numFmtId="0" fontId="4" fillId="0" borderId="0"/>
    <xf numFmtId="0" fontId="4" fillId="0" borderId="0"/>
    <xf numFmtId="0" fontId="17" fillId="0" borderId="0"/>
    <xf numFmtId="0" fontId="83" fillId="0" borderId="0"/>
    <xf numFmtId="0" fontId="4" fillId="0" borderId="0"/>
    <xf numFmtId="0" fontId="4" fillId="0" borderId="0"/>
    <xf numFmtId="0" fontId="17" fillId="0" borderId="0"/>
    <xf numFmtId="0" fontId="87" fillId="0" borderId="0"/>
    <xf numFmtId="0" fontId="4" fillId="0" borderId="0"/>
    <xf numFmtId="0" fontId="4" fillId="0" borderId="0"/>
    <xf numFmtId="0" fontId="17" fillId="0" borderId="0"/>
    <xf numFmtId="0" fontId="17" fillId="0" borderId="0"/>
    <xf numFmtId="0" fontId="4" fillId="0" borderId="0"/>
    <xf numFmtId="0" fontId="4" fillId="0" borderId="0"/>
    <xf numFmtId="0" fontId="17" fillId="0" borderId="0"/>
    <xf numFmtId="0" fontId="17" fillId="0" borderId="0"/>
    <xf numFmtId="0" fontId="4" fillId="0" borderId="0"/>
    <xf numFmtId="0" fontId="4" fillId="0" borderId="0"/>
    <xf numFmtId="0" fontId="17" fillId="0" borderId="0"/>
    <xf numFmtId="0" fontId="17" fillId="0" borderId="0"/>
    <xf numFmtId="0" fontId="4" fillId="0" borderId="0"/>
    <xf numFmtId="0" fontId="87" fillId="0" borderId="0"/>
    <xf numFmtId="0" fontId="4" fillId="0" borderId="0"/>
    <xf numFmtId="0" fontId="17" fillId="0" borderId="0"/>
    <xf numFmtId="0" fontId="4" fillId="0" borderId="0"/>
    <xf numFmtId="0" fontId="17" fillId="0" borderId="0"/>
    <xf numFmtId="188" fontId="56" fillId="0" borderId="0"/>
    <xf numFmtId="0" fontId="17" fillId="0" borderId="0"/>
    <xf numFmtId="0" fontId="17" fillId="0" borderId="0" applyNumberFormat="0" applyFill="0" applyBorder="0" applyAlignment="0" applyProtection="0"/>
    <xf numFmtId="188" fontId="4" fillId="0" borderId="0"/>
    <xf numFmtId="188" fontId="4" fillId="0" borderId="0"/>
    <xf numFmtId="0" fontId="17"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7" fillId="0" borderId="0" applyNumberFormat="0" applyFill="0" applyBorder="0" applyAlignment="0" applyProtection="0"/>
    <xf numFmtId="0" fontId="4"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4" fillId="0" borderId="0"/>
    <xf numFmtId="0" fontId="4" fillId="0" borderId="0"/>
    <xf numFmtId="0" fontId="87" fillId="0" borderId="0"/>
    <xf numFmtId="0" fontId="4" fillId="0" borderId="0" applyNumberFormat="0" applyFill="0" applyBorder="0" applyAlignment="0" applyProtection="0"/>
    <xf numFmtId="188" fontId="87" fillId="0" borderId="0"/>
    <xf numFmtId="0" fontId="17" fillId="0" borderId="0"/>
    <xf numFmtId="0" fontId="87" fillId="0" borderId="0"/>
    <xf numFmtId="0" fontId="87" fillId="0" borderId="0"/>
    <xf numFmtId="0" fontId="17" fillId="0" borderId="0" applyNumberFormat="0" applyFont="0" applyFill="0" applyBorder="0" applyAlignment="0" applyProtection="0"/>
    <xf numFmtId="188" fontId="87" fillId="0" borderId="0"/>
    <xf numFmtId="0" fontId="87" fillId="0" borderId="0"/>
    <xf numFmtId="0" fontId="87" fillId="0" borderId="0"/>
    <xf numFmtId="0" fontId="17" fillId="0" borderId="0" applyNumberFormat="0" applyFont="0" applyFill="0" applyBorder="0" applyAlignment="0" applyProtection="0"/>
    <xf numFmtId="188" fontId="56" fillId="0" borderId="0"/>
    <xf numFmtId="0" fontId="17" fillId="0" borderId="0"/>
    <xf numFmtId="0" fontId="17" fillId="0" borderId="0"/>
    <xf numFmtId="0" fontId="17" fillId="0" borderId="0" applyNumberFormat="0" applyFill="0" applyBorder="0" applyAlignment="0" applyProtection="0"/>
    <xf numFmtId="188" fontId="56"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ont="0" applyFill="0" applyBorder="0" applyAlignment="0" applyProtection="0"/>
    <xf numFmtId="0" fontId="17" fillId="0" borderId="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xf numFmtId="188" fontId="87" fillId="0" borderId="0"/>
    <xf numFmtId="0" fontId="87" fillId="0" borderId="0"/>
    <xf numFmtId="0" fontId="4" fillId="0" borderId="0"/>
    <xf numFmtId="0" fontId="17" fillId="0" borderId="0"/>
    <xf numFmtId="0" fontId="4" fillId="0" borderId="0"/>
    <xf numFmtId="188" fontId="17" fillId="0" borderId="0"/>
    <xf numFmtId="0" fontId="17" fillId="0" borderId="0"/>
    <xf numFmtId="0" fontId="17" fillId="0" borderId="0"/>
    <xf numFmtId="0" fontId="4" fillId="0" borderId="0"/>
    <xf numFmtId="0" fontId="17" fillId="0" borderId="0"/>
    <xf numFmtId="0" fontId="4" fillId="0" borderId="0"/>
    <xf numFmtId="0" fontId="17" fillId="0" borderId="0"/>
    <xf numFmtId="0" fontId="4" fillId="0" borderId="0"/>
    <xf numFmtId="0" fontId="17" fillId="0" borderId="0"/>
    <xf numFmtId="0" fontId="4" fillId="0" borderId="0"/>
    <xf numFmtId="0" fontId="17" fillId="0" borderId="0"/>
    <xf numFmtId="0" fontId="4" fillId="0" borderId="0"/>
    <xf numFmtId="0" fontId="17" fillId="0" borderId="0"/>
    <xf numFmtId="0" fontId="4" fillId="0" borderId="0"/>
    <xf numFmtId="189" fontId="17" fillId="0" borderId="0"/>
    <xf numFmtId="0" fontId="4" fillId="0" borderId="0"/>
    <xf numFmtId="0" fontId="17" fillId="0" borderId="0"/>
    <xf numFmtId="0" fontId="17" fillId="0" borderId="0"/>
    <xf numFmtId="0" fontId="4" fillId="0" borderId="0"/>
    <xf numFmtId="189" fontId="17" fillId="0" borderId="0"/>
    <xf numFmtId="0" fontId="4" fillId="0" borderId="0"/>
    <xf numFmtId="0" fontId="17" fillId="0" borderId="0"/>
    <xf numFmtId="0" fontId="17" fillId="0" borderId="0"/>
    <xf numFmtId="0" fontId="4" fillId="0" borderId="0"/>
    <xf numFmtId="188" fontId="17" fillId="0" borderId="0"/>
    <xf numFmtId="0" fontId="4" fillId="0" borderId="0"/>
    <xf numFmtId="0" fontId="17" fillId="0" borderId="0"/>
    <xf numFmtId="0" fontId="17" fillId="0" borderId="0"/>
    <xf numFmtId="0" fontId="4" fillId="0" borderId="0"/>
    <xf numFmtId="0" fontId="4" fillId="0" borderId="0"/>
    <xf numFmtId="0" fontId="17" fillId="0" borderId="0"/>
    <xf numFmtId="0" fontId="17" fillId="0" borderId="0"/>
    <xf numFmtId="0" fontId="4" fillId="0" borderId="0"/>
    <xf numFmtId="0" fontId="4" fillId="0" borderId="0"/>
    <xf numFmtId="0" fontId="17" fillId="0" borderId="0"/>
    <xf numFmtId="0" fontId="17" fillId="0" borderId="0"/>
    <xf numFmtId="0" fontId="4" fillId="0" borderId="0"/>
    <xf numFmtId="0" fontId="4" fillId="0" borderId="0"/>
    <xf numFmtId="0" fontId="17" fillId="0" borderId="0"/>
    <xf numFmtId="0" fontId="17" fillId="0" borderId="0"/>
    <xf numFmtId="0" fontId="4" fillId="0" borderId="0"/>
    <xf numFmtId="188" fontId="149" fillId="0" borderId="0"/>
    <xf numFmtId="0" fontId="87" fillId="0" borderId="0"/>
    <xf numFmtId="0" fontId="17" fillId="0" borderId="0"/>
    <xf numFmtId="0" fontId="17" fillId="0" borderId="0" applyNumberFormat="0" applyFont="0" applyFill="0" applyBorder="0" applyAlignment="0" applyProtection="0"/>
    <xf numFmtId="0" fontId="56" fillId="0" borderId="0"/>
    <xf numFmtId="0" fontId="149" fillId="0" borderId="0" applyNumberFormat="0" applyFill="0" applyBorder="0" applyAlignment="0" applyProtection="0"/>
    <xf numFmtId="0" fontId="149"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87" fillId="0" borderId="0"/>
    <xf numFmtId="188"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7" fillId="0" borderId="0" applyNumberFormat="0" applyFont="0" applyFill="0" applyBorder="0" applyAlignment="0" applyProtection="0"/>
    <xf numFmtId="0" fontId="17" fillId="0" borderId="0"/>
    <xf numFmtId="0" fontId="4" fillId="0" borderId="0"/>
    <xf numFmtId="0" fontId="4" fillId="0" borderId="0" applyNumberFormat="0" applyFill="0" applyBorder="0" applyAlignment="0" applyProtection="0"/>
    <xf numFmtId="0" fontId="87" fillId="0" borderId="0"/>
    <xf numFmtId="0" fontId="4" fillId="0" borderId="0"/>
    <xf numFmtId="188"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7" fillId="0" borderId="0"/>
    <xf numFmtId="0" fontId="17" fillId="0" borderId="0" applyNumberFormat="0" applyFont="0" applyFill="0" applyBorder="0" applyAlignment="0" applyProtection="0"/>
    <xf numFmtId="0" fontId="83" fillId="0" borderId="0"/>
    <xf numFmtId="0" fontId="149" fillId="0" borderId="0"/>
    <xf numFmtId="188" fontId="10" fillId="0" borderId="0"/>
    <xf numFmtId="0" fontId="17" fillId="0" borderId="0"/>
    <xf numFmtId="0" fontId="87" fillId="0" borderId="0"/>
    <xf numFmtId="0" fontId="17" fillId="0" borderId="0" applyNumberFormat="0" applyFont="0" applyFill="0" applyBorder="0" applyAlignment="0" applyProtection="0"/>
    <xf numFmtId="188" fontId="10" fillId="0" borderId="0"/>
    <xf numFmtId="0" fontId="149" fillId="0" borderId="0"/>
    <xf numFmtId="0" fontId="17" fillId="0" borderId="0" applyNumberFormat="0" applyFont="0" applyFill="0" applyBorder="0" applyAlignment="0" applyProtection="0"/>
    <xf numFmtId="188" fontId="10" fillId="0" borderId="0"/>
    <xf numFmtId="0" fontId="17" fillId="0" borderId="0" applyNumberFormat="0" applyFont="0" applyFill="0" applyBorder="0" applyAlignment="0" applyProtection="0"/>
    <xf numFmtId="188" fontId="10" fillId="0" borderId="0"/>
    <xf numFmtId="0" fontId="17" fillId="0" borderId="0" applyNumberFormat="0" applyFont="0" applyFill="0" applyBorder="0" applyAlignment="0" applyProtection="0"/>
    <xf numFmtId="188" fontId="10" fillId="0" borderId="0"/>
    <xf numFmtId="0" fontId="17" fillId="0" borderId="0" applyNumberFormat="0" applyFont="0" applyFill="0" applyBorder="0" applyAlignment="0" applyProtection="0"/>
    <xf numFmtId="188" fontId="10" fillId="0" borderId="0"/>
    <xf numFmtId="0" fontId="17" fillId="0" borderId="0" applyNumberFormat="0" applyFont="0" applyFill="0" applyBorder="0" applyAlignment="0" applyProtection="0"/>
    <xf numFmtId="188" fontId="10" fillId="0" borderId="0"/>
    <xf numFmtId="0" fontId="17" fillId="0" borderId="0" applyNumberFormat="0" applyFont="0" applyFill="0" applyBorder="0" applyAlignment="0" applyProtection="0"/>
    <xf numFmtId="188" fontId="87" fillId="0" borderId="0"/>
    <xf numFmtId="0" fontId="4" fillId="0" borderId="0"/>
    <xf numFmtId="0" fontId="17" fillId="0" borderId="0"/>
    <xf numFmtId="0" fontId="17" fillId="0" borderId="0"/>
    <xf numFmtId="0" fontId="4" fillId="0" borderId="0"/>
    <xf numFmtId="0" fontId="4" fillId="0" borderId="0"/>
    <xf numFmtId="0" fontId="17" fillId="0" borderId="0"/>
    <xf numFmtId="0" fontId="17" fillId="0" borderId="0"/>
    <xf numFmtId="0" fontId="4" fillId="0" borderId="0"/>
    <xf numFmtId="0" fontId="4" fillId="0" borderId="0"/>
    <xf numFmtId="0" fontId="17" fillId="0" borderId="0"/>
    <xf numFmtId="0" fontId="17" fillId="0" borderId="0"/>
    <xf numFmtId="0" fontId="4" fillId="0" borderId="0"/>
    <xf numFmtId="0" fontId="4" fillId="0" borderId="0"/>
    <xf numFmtId="0" fontId="17" fillId="0" borderId="0"/>
    <xf numFmtId="0" fontId="17" fillId="0" borderId="0"/>
    <xf numFmtId="0" fontId="4" fillId="0" borderId="0"/>
    <xf numFmtId="0" fontId="4" fillId="0" borderId="0"/>
    <xf numFmtId="0" fontId="17" fillId="0" borderId="0"/>
    <xf numFmtId="0" fontId="17" fillId="0" borderId="0"/>
    <xf numFmtId="0" fontId="4" fillId="0" borderId="0"/>
    <xf numFmtId="0" fontId="4" fillId="0" borderId="0"/>
    <xf numFmtId="0" fontId="17" fillId="0" borderId="0"/>
    <xf numFmtId="0" fontId="17" fillId="0" borderId="0"/>
    <xf numFmtId="0" fontId="4" fillId="0" borderId="0"/>
    <xf numFmtId="0" fontId="4" fillId="0" borderId="0"/>
    <xf numFmtId="0" fontId="17" fillId="0" borderId="0"/>
    <xf numFmtId="0" fontId="17" fillId="0" borderId="0"/>
    <xf numFmtId="0" fontId="4" fillId="0" borderId="0"/>
    <xf numFmtId="0" fontId="4" fillId="0" borderId="0"/>
    <xf numFmtId="0" fontId="17" fillId="0" borderId="0"/>
    <xf numFmtId="0" fontId="17" fillId="0" borderId="0"/>
    <xf numFmtId="0" fontId="4" fillId="0" borderId="0"/>
    <xf numFmtId="0" fontId="4" fillId="0" borderId="0"/>
    <xf numFmtId="0" fontId="17" fillId="0" borderId="0"/>
    <xf numFmtId="0" fontId="17" fillId="0" borderId="0"/>
    <xf numFmtId="0" fontId="4" fillId="0" borderId="0"/>
    <xf numFmtId="0" fontId="4" fillId="0" borderId="0"/>
    <xf numFmtId="0" fontId="4" fillId="0" borderId="0"/>
    <xf numFmtId="188" fontId="56" fillId="0" borderId="0"/>
    <xf numFmtId="188" fontId="56" fillId="0" borderId="0"/>
    <xf numFmtId="0" fontId="87" fillId="0" borderId="0"/>
    <xf numFmtId="0" fontId="17" fillId="0" borderId="0" applyNumberFormat="0" applyFill="0" applyBorder="0" applyAlignment="0" applyProtection="0"/>
    <xf numFmtId="188" fontId="56" fillId="0" borderId="0"/>
    <xf numFmtId="0" fontId="17" fillId="0" borderId="0" applyNumberFormat="0" applyFill="0" applyBorder="0" applyAlignment="0" applyProtection="0"/>
    <xf numFmtId="0" fontId="87" fillId="0" borderId="0"/>
    <xf numFmtId="0" fontId="17" fillId="0" borderId="0"/>
    <xf numFmtId="0" fontId="17" fillId="0" borderId="0" applyNumberFormat="0" applyFill="0" applyBorder="0" applyAlignment="0" applyProtection="0"/>
    <xf numFmtId="189" fontId="56"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188" fontId="4" fillId="0" borderId="0"/>
    <xf numFmtId="0" fontId="4" fillId="0" borderId="0" applyNumberFormat="0" applyFill="0" applyBorder="0" applyAlignment="0" applyProtection="0"/>
    <xf numFmtId="0" fontId="17" fillId="0" borderId="0"/>
    <xf numFmtId="0" fontId="17" fillId="0" borderId="0" applyNumberFormat="0" applyFont="0" applyFill="0" applyBorder="0" applyAlignment="0" applyProtection="0"/>
    <xf numFmtId="0" fontId="17" fillId="0" borderId="0"/>
    <xf numFmtId="0" fontId="17" fillId="0" borderId="0" applyNumberFormat="0" applyFont="0" applyFill="0" applyBorder="0" applyAlignment="0" applyProtection="0"/>
    <xf numFmtId="0" fontId="17" fillId="0" borderId="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188" fontId="56" fillId="0" borderId="0"/>
    <xf numFmtId="188" fontId="56" fillId="0" borderId="0"/>
    <xf numFmtId="0" fontId="17" fillId="0" borderId="0"/>
    <xf numFmtId="0" fontId="17" fillId="0" borderId="0" applyNumberFormat="0" applyFont="0" applyFill="0" applyBorder="0" applyAlignment="0" applyProtection="0"/>
    <xf numFmtId="0" fontId="87" fillId="0" borderId="0"/>
    <xf numFmtId="0" fontId="87" fillId="0" borderId="0"/>
    <xf numFmtId="0" fontId="17" fillId="0" borderId="0"/>
    <xf numFmtId="0" fontId="17" fillId="0" borderId="0" applyNumberFormat="0" applyFill="0" applyBorder="0" applyAlignment="0" applyProtection="0"/>
    <xf numFmtId="188" fontId="4" fillId="0" borderId="0"/>
    <xf numFmtId="0" fontId="17" fillId="0" borderId="0"/>
    <xf numFmtId="0" fontId="17" fillId="0" borderId="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xf numFmtId="0" fontId="17" fillId="0" borderId="0" applyNumberFormat="0" applyFont="0" applyFill="0" applyBorder="0" applyAlignment="0" applyProtection="0"/>
    <xf numFmtId="0" fontId="17" fillId="0" borderId="0"/>
    <xf numFmtId="0" fontId="17" fillId="0" borderId="0" applyNumberFormat="0" applyFont="0" applyFill="0" applyBorder="0" applyAlignment="0" applyProtection="0"/>
    <xf numFmtId="0" fontId="17" fillId="0" borderId="0"/>
    <xf numFmtId="0" fontId="17" fillId="0" borderId="0" applyNumberFormat="0" applyFont="0" applyFill="0" applyBorder="0" applyAlignment="0" applyProtection="0"/>
    <xf numFmtId="0" fontId="17" fillId="0" borderId="0"/>
    <xf numFmtId="0" fontId="17" fillId="0" borderId="0" applyNumberFormat="0" applyFont="0" applyFill="0" applyBorder="0" applyAlignment="0" applyProtection="0"/>
    <xf numFmtId="0" fontId="17" fillId="0" borderId="0"/>
    <xf numFmtId="0" fontId="4" fillId="0" borderId="0" applyNumberFormat="0" applyFill="0" applyBorder="0" applyAlignment="0" applyProtection="0"/>
    <xf numFmtId="0" fontId="17" fillId="0" borderId="0"/>
    <xf numFmtId="188"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7" fillId="0" borderId="0"/>
    <xf numFmtId="0" fontId="4" fillId="0" borderId="0" applyNumberFormat="0" applyFill="0" applyBorder="0" applyAlignment="0" applyProtection="0"/>
    <xf numFmtId="0" fontId="4" fillId="0" borderId="0"/>
    <xf numFmtId="0" fontId="4" fillId="0" borderId="0"/>
    <xf numFmtId="0" fontId="17" fillId="0" borderId="0"/>
    <xf numFmtId="0" fontId="17" fillId="0" borderId="0" applyNumberFormat="0" applyFill="0" applyBorder="0" applyAlignment="0" applyProtection="0"/>
    <xf numFmtId="188"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8" fontId="10" fillId="0" borderId="0"/>
    <xf numFmtId="188" fontId="10" fillId="0" borderId="0"/>
    <xf numFmtId="0" fontId="87" fillId="0" borderId="0"/>
    <xf numFmtId="188" fontId="56" fillId="0" borderId="0"/>
    <xf numFmtId="188" fontId="56" fillId="0" borderId="0"/>
    <xf numFmtId="0" fontId="17" fillId="0" borderId="0" applyNumberFormat="0" applyFill="0" applyBorder="0" applyAlignment="0" applyProtection="0"/>
    <xf numFmtId="188" fontId="10" fillId="0" borderId="0"/>
    <xf numFmtId="188" fontId="10" fillId="0" borderId="0"/>
    <xf numFmtId="0" fontId="87" fillId="0" borderId="0"/>
    <xf numFmtId="188" fontId="56" fillId="0" borderId="0"/>
    <xf numFmtId="188" fontId="56" fillId="0" borderId="0"/>
    <xf numFmtId="0" fontId="17" fillId="0" borderId="0" applyNumberFormat="0" applyFill="0" applyBorder="0" applyAlignment="0" applyProtection="0"/>
    <xf numFmtId="188" fontId="10" fillId="0" borderId="0"/>
    <xf numFmtId="188" fontId="10" fillId="0" borderId="0"/>
    <xf numFmtId="0" fontId="87" fillId="0" borderId="0"/>
    <xf numFmtId="188" fontId="56" fillId="0" borderId="0"/>
    <xf numFmtId="188" fontId="56" fillId="0" borderId="0"/>
    <xf numFmtId="0" fontId="17" fillId="0" borderId="0" applyNumberFormat="0" applyFill="0" applyBorder="0" applyAlignment="0" applyProtection="0"/>
    <xf numFmtId="188" fontId="10" fillId="0" borderId="0"/>
    <xf numFmtId="0" fontId="87" fillId="0" borderId="0"/>
    <xf numFmtId="0" fontId="17" fillId="0" borderId="0" applyNumberFormat="0" applyFill="0" applyBorder="0" applyAlignment="0" applyProtection="0"/>
    <xf numFmtId="188" fontId="10" fillId="0" borderId="0"/>
    <xf numFmtId="0" fontId="87" fillId="0" borderId="0"/>
    <xf numFmtId="0" fontId="17" fillId="0" borderId="0" applyNumberFormat="0" applyFill="0" applyBorder="0" applyAlignment="0" applyProtection="0"/>
    <xf numFmtId="188" fontId="10" fillId="0" borderId="0"/>
    <xf numFmtId="0" fontId="87" fillId="0" borderId="0"/>
    <xf numFmtId="0" fontId="17" fillId="0" borderId="0" applyNumberFormat="0" applyFill="0" applyBorder="0" applyAlignment="0" applyProtection="0"/>
    <xf numFmtId="188" fontId="87" fillId="0" borderId="0"/>
    <xf numFmtId="0" fontId="4" fillId="0" borderId="0"/>
    <xf numFmtId="0" fontId="17" fillId="0" borderId="0"/>
    <xf numFmtId="0" fontId="4" fillId="0" borderId="0"/>
    <xf numFmtId="0" fontId="4" fillId="0" borderId="0"/>
    <xf numFmtId="0" fontId="17" fillId="0" borderId="0"/>
    <xf numFmtId="0" fontId="4" fillId="0" borderId="0"/>
    <xf numFmtId="0" fontId="4" fillId="0" borderId="0"/>
    <xf numFmtId="0" fontId="17" fillId="0" borderId="0"/>
    <xf numFmtId="0" fontId="4" fillId="0" borderId="0"/>
    <xf numFmtId="0" fontId="4" fillId="0" borderId="0"/>
    <xf numFmtId="0" fontId="4" fillId="0" borderId="0"/>
    <xf numFmtId="0" fontId="4" fillId="0" borderId="0"/>
    <xf numFmtId="0" fontId="17" fillId="0" borderId="0"/>
    <xf numFmtId="0" fontId="4" fillId="0" borderId="0"/>
    <xf numFmtId="0" fontId="4" fillId="0" borderId="0"/>
    <xf numFmtId="0" fontId="87" fillId="0" borderId="0"/>
    <xf numFmtId="0" fontId="4" fillId="0" borderId="0"/>
    <xf numFmtId="0" fontId="4" fillId="0" borderId="0"/>
    <xf numFmtId="0" fontId="14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8" fontId="10" fillId="0" borderId="0"/>
    <xf numFmtId="188" fontId="10" fillId="0" borderId="0"/>
    <xf numFmtId="188" fontId="56" fillId="0" borderId="0"/>
    <xf numFmtId="188" fontId="56" fillId="0" borderId="0"/>
    <xf numFmtId="0" fontId="17" fillId="0" borderId="0"/>
    <xf numFmtId="0" fontId="17" fillId="0" borderId="0" applyNumberFormat="0" applyFill="0" applyBorder="0" applyAlignment="0" applyProtection="0"/>
    <xf numFmtId="188" fontId="4" fillId="0" borderId="0"/>
    <xf numFmtId="0" fontId="17" fillId="0" borderId="0"/>
    <xf numFmtId="0" fontId="4" fillId="0" borderId="0"/>
    <xf numFmtId="0" fontId="4" fillId="0" borderId="0"/>
    <xf numFmtId="0" fontId="17" fillId="0" borderId="0"/>
    <xf numFmtId="0" fontId="4" fillId="0" borderId="0" applyNumberFormat="0" applyFill="0" applyBorder="0" applyAlignment="0" applyProtection="0"/>
    <xf numFmtId="188" fontId="4" fillId="0" borderId="0"/>
    <xf numFmtId="188" fontId="4" fillId="0" borderId="0"/>
    <xf numFmtId="0" fontId="17" fillId="0" borderId="0"/>
    <xf numFmtId="0" fontId="4" fillId="0" borderId="0"/>
    <xf numFmtId="0" fontId="4" fillId="0" borderId="0"/>
    <xf numFmtId="0" fontId="4" fillId="0" borderId="0" applyNumberFormat="0" applyFill="0" applyBorder="0" applyAlignment="0" applyProtection="0"/>
    <xf numFmtId="188" fontId="4" fillId="0" borderId="0"/>
    <xf numFmtId="188" fontId="10" fillId="0" borderId="0"/>
    <xf numFmtId="0" fontId="17" fillId="0" borderId="0"/>
    <xf numFmtId="188" fontId="10" fillId="0" borderId="0"/>
    <xf numFmtId="0" fontId="17" fillId="0" borderId="0"/>
    <xf numFmtId="188" fontId="10" fillId="0" borderId="0"/>
    <xf numFmtId="188" fontId="10" fillId="0" borderId="0"/>
    <xf numFmtId="188" fontId="10" fillId="0" borderId="0"/>
    <xf numFmtId="188" fontId="10" fillId="0" borderId="0"/>
    <xf numFmtId="188" fontId="8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8" fontId="10" fillId="0" borderId="0"/>
    <xf numFmtId="188" fontId="10" fillId="0" borderId="0"/>
    <xf numFmtId="188" fontId="56" fillId="0" borderId="0"/>
    <xf numFmtId="188" fontId="56" fillId="0" borderId="0"/>
    <xf numFmtId="0" fontId="87" fillId="0" borderId="0"/>
    <xf numFmtId="0" fontId="17" fillId="0" borderId="0"/>
    <xf numFmtId="0" fontId="17" fillId="0" borderId="0" applyNumberFormat="0" applyFont="0" applyFill="0" applyBorder="0" applyAlignment="0" applyProtection="0"/>
    <xf numFmtId="188"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7" fillId="0" borderId="0"/>
    <xf numFmtId="0" fontId="4" fillId="0" borderId="0" applyNumberFormat="0" applyFill="0" applyBorder="0" applyAlignment="0" applyProtection="0"/>
    <xf numFmtId="0" fontId="4" fillId="0" borderId="0"/>
    <xf numFmtId="0" fontId="4" fillId="0" borderId="0"/>
    <xf numFmtId="0" fontId="17" fillId="0" borderId="0"/>
    <xf numFmtId="0" fontId="17" fillId="0" borderId="0" applyNumberFormat="0" applyFill="0" applyBorder="0" applyAlignment="0" applyProtection="0"/>
    <xf numFmtId="188"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8" fontId="4" fillId="0" borderId="0"/>
    <xf numFmtId="0" fontId="17" fillId="0" borderId="0"/>
    <xf numFmtId="0" fontId="4" fillId="0" borderId="0"/>
    <xf numFmtId="0" fontId="4" fillId="0" borderId="0"/>
    <xf numFmtId="0" fontId="4" fillId="0" borderId="0" applyNumberFormat="0" applyFill="0" applyBorder="0" applyAlignment="0" applyProtection="0"/>
    <xf numFmtId="188" fontId="4" fillId="0" borderId="0"/>
    <xf numFmtId="188" fontId="10" fillId="0" borderId="0"/>
    <xf numFmtId="0" fontId="83" fillId="0" borderId="0"/>
    <xf numFmtId="188" fontId="10" fillId="0" borderId="0"/>
    <xf numFmtId="0" fontId="83" fillId="0" borderId="0"/>
    <xf numFmtId="188" fontId="10" fillId="0" borderId="0"/>
    <xf numFmtId="188" fontId="10" fillId="0" borderId="0"/>
    <xf numFmtId="188" fontId="10" fillId="0" borderId="0"/>
    <xf numFmtId="188" fontId="10" fillId="0" borderId="0"/>
    <xf numFmtId="188" fontId="8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8" fontId="17" fillId="0" borderId="0"/>
    <xf numFmtId="188" fontId="17" fillId="0" borderId="0"/>
    <xf numFmtId="0" fontId="83" fillId="0" borderId="0"/>
    <xf numFmtId="188" fontId="56" fillId="0" borderId="0"/>
    <xf numFmtId="0" fontId="83" fillId="0" borderId="0"/>
    <xf numFmtId="188" fontId="56" fillId="0" borderId="0"/>
    <xf numFmtId="0" fontId="87" fillId="0" borderId="0"/>
    <xf numFmtId="0" fontId="17" fillId="0" borderId="0"/>
    <xf numFmtId="0" fontId="17"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50" fillId="0" borderId="0" applyNumberFormat="0" applyFill="0" applyBorder="0" applyProtection="0">
      <alignment vertical="top" wrapText="1"/>
    </xf>
    <xf numFmtId="0" fontId="150" fillId="0" borderId="0" applyNumberFormat="0" applyFill="0" applyBorder="0" applyProtection="0">
      <alignment vertical="top" wrapText="1"/>
    </xf>
    <xf numFmtId="208" fontId="151" fillId="0" borderId="0" applyFill="0" applyBorder="0" applyProtection="0">
      <alignment horizontal="right" vertical="top"/>
    </xf>
    <xf numFmtId="188" fontId="152" fillId="57" borderId="45" applyNumberForma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74" fillId="25" borderId="39"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57"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57"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3" fillId="25" borderId="39" applyNumberFormat="0" applyAlignment="0" applyProtection="0"/>
    <xf numFmtId="0" fontId="126" fillId="0" borderId="39" applyNumberFormat="0" applyFill="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52" fillId="75" borderId="45" applyNumberFormat="0" applyAlignment="0" applyProtection="0"/>
    <xf numFmtId="0" fontId="152" fillId="75" borderId="45" applyNumberFormat="0" applyAlignment="0" applyProtection="0"/>
    <xf numFmtId="0" fontId="152" fillId="75" borderId="45" applyNumberFormat="0" applyAlignment="0" applyProtection="0"/>
    <xf numFmtId="188" fontId="152" fillId="57" borderId="45" applyNumberFormat="0" applyAlignment="0" applyProtection="0"/>
    <xf numFmtId="0" fontId="152" fillId="75" borderId="45" applyNumberForma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52" fillId="57" borderId="45" applyNumberFormat="0" applyAlignment="0" applyProtection="0"/>
    <xf numFmtId="0" fontId="152" fillId="57" borderId="45" applyNumberFormat="0" applyAlignment="0" applyProtection="0"/>
    <xf numFmtId="0" fontId="153" fillId="25" borderId="39" applyNumberFormat="0" applyAlignment="0" applyProtection="0"/>
    <xf numFmtId="0" fontId="17" fillId="0" borderId="0" applyNumberFormat="0" applyFont="0" applyFill="0" applyBorder="0" applyAlignment="0" applyProtection="0"/>
    <xf numFmtId="188" fontId="152" fillId="57" borderId="45" applyNumberForma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52" fillId="57" borderId="45" applyNumberFormat="0" applyAlignment="0" applyProtection="0"/>
    <xf numFmtId="0" fontId="152" fillId="57" borderId="45" applyNumberFormat="0" applyAlignment="0" applyProtection="0"/>
    <xf numFmtId="0" fontId="153" fillId="25" borderId="39" applyNumberFormat="0" applyAlignment="0" applyProtection="0"/>
    <xf numFmtId="0" fontId="17" fillId="0" borderId="0" applyNumberFormat="0" applyFont="0" applyFill="0" applyBorder="0" applyAlignment="0" applyProtection="0"/>
    <xf numFmtId="0" fontId="74" fillId="25" borderId="39" applyNumberFormat="0" applyAlignment="0" applyProtection="0"/>
    <xf numFmtId="0" fontId="153" fillId="25" borderId="39" applyNumberFormat="0" applyAlignment="0" applyProtection="0"/>
    <xf numFmtId="0" fontId="126" fillId="0" borderId="39" applyNumberFormat="0" applyFill="0" applyAlignment="0" applyProtection="0"/>
    <xf numFmtId="0" fontId="126" fillId="0" borderId="39" applyNumberFormat="0" applyFill="0" applyAlignment="0" applyProtection="0"/>
    <xf numFmtId="0" fontId="153" fillId="25" borderId="39" applyNumberFormat="0" applyAlignment="0" applyProtection="0"/>
    <xf numFmtId="0" fontId="126" fillId="0" borderId="39" applyNumberFormat="0" applyFill="0" applyAlignment="0" applyProtection="0"/>
    <xf numFmtId="209" fontId="154" fillId="0" borderId="0">
      <alignment horizontal="left"/>
    </xf>
    <xf numFmtId="40" fontId="155" fillId="70" borderId="0">
      <alignment horizontal="right"/>
    </xf>
    <xf numFmtId="0" fontId="156" fillId="70" borderId="0">
      <alignment horizontal="right"/>
    </xf>
    <xf numFmtId="0" fontId="157" fillId="70" borderId="57"/>
    <xf numFmtId="0" fontId="157" fillId="0" borderId="0" applyBorder="0">
      <alignment horizontal="centerContinuous"/>
    </xf>
    <xf numFmtId="0" fontId="158" fillId="0" borderId="0" applyBorder="0">
      <alignment horizontal="centerContinuous"/>
    </xf>
    <xf numFmtId="0" fontId="17" fillId="0" borderId="0" applyNumberFormat="0" applyFont="0" applyFill="0" applyBorder="0" applyAlignment="0" applyProtection="0"/>
    <xf numFmtId="0" fontId="17" fillId="0" borderId="0" applyNumberFormat="0" applyFont="0" applyFill="0" applyBorder="0" applyAlignment="0" applyProtection="0"/>
    <xf numFmtId="10" fontId="87" fillId="0" borderId="0" applyFont="0" applyFill="0" applyBorder="0" applyAlignment="0" applyProtection="0"/>
    <xf numFmtId="9" fontId="83" fillId="0" borderId="0" applyFont="0" applyFill="0" applyBorder="0" applyAlignment="0" applyProtection="0"/>
    <xf numFmtId="188" fontId="159" fillId="0" borderId="0" applyNumberFormat="0" applyFill="0" applyBorder="0" applyProtection="0">
      <alignment horizontal="left"/>
    </xf>
    <xf numFmtId="188" fontId="159" fillId="0" borderId="0" applyNumberFormat="0" applyFill="0" applyBorder="0" applyAlignment="0" applyProtection="0"/>
    <xf numFmtId="188" fontId="159" fillId="0" borderId="0" applyNumberFormat="0" applyFill="0" applyBorder="0" applyAlignment="0" applyProtection="0"/>
    <xf numFmtId="188" fontId="159" fillId="0" borderId="0" applyNumberFormat="0" applyFill="0" applyBorder="0" applyAlignment="0" applyProtection="0"/>
    <xf numFmtId="188" fontId="159" fillId="0" borderId="0" applyNumberFormat="0" applyFill="0" applyBorder="0" applyProtection="0">
      <alignment horizontal="left"/>
    </xf>
    <xf numFmtId="188" fontId="159" fillId="0" borderId="0" applyNumberFormat="0" applyFill="0" applyBorder="0" applyAlignment="0" applyProtection="0"/>
    <xf numFmtId="2" fontId="160" fillId="70" borderId="0">
      <protection locked="0"/>
    </xf>
    <xf numFmtId="210" fontId="150" fillId="0" borderId="0"/>
    <xf numFmtId="9" fontId="17"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87" fillId="0" borderId="0" applyFont="0" applyFill="0" applyBorder="0" applyAlignment="0" applyProtection="0"/>
    <xf numFmtId="0" fontId="17" fillId="0" borderId="0" applyNumberFormat="0" applyFont="0" applyFill="0" applyBorder="0" applyAlignment="0" applyProtection="0"/>
    <xf numFmtId="9" fontId="4" fillId="0" borderId="0" applyFont="0" applyFill="0" applyBorder="0" applyAlignment="0" applyProtection="0"/>
    <xf numFmtId="0" fontId="17" fillId="0" borderId="0" applyNumberFormat="0" applyFont="0" applyFill="0" applyBorder="0" applyAlignment="0" applyProtection="0"/>
    <xf numFmtId="9" fontId="4" fillId="0" borderId="0" applyFont="0" applyFill="0" applyBorder="0" applyAlignment="0" applyProtection="0"/>
    <xf numFmtId="0" fontId="17" fillId="0" borderId="0" applyNumberFormat="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0" fontId="17" fillId="0" borderId="0" applyNumberFormat="0" applyFont="0" applyFill="0" applyBorder="0" applyAlignment="0" applyProtection="0"/>
    <xf numFmtId="9" fontId="161" fillId="0" borderId="0" applyFont="0" applyFill="0" applyBorder="0" applyAlignment="0" applyProtection="0"/>
    <xf numFmtId="9" fontId="87" fillId="0" borderId="0" applyFont="0" applyFill="0" applyBorder="0" applyAlignment="0" applyProtection="0"/>
    <xf numFmtId="0" fontId="17" fillId="0" borderId="0" applyNumberFormat="0" applyFont="0" applyFill="0" applyBorder="0" applyAlignment="0" applyProtection="0"/>
    <xf numFmtId="9" fontId="87"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87" fillId="0" borderId="0" applyFont="0" applyFill="0" applyBorder="0" applyAlignment="0" applyProtection="0"/>
    <xf numFmtId="0" fontId="17" fillId="0" borderId="0" applyNumberFormat="0" applyFont="0" applyFill="0" applyBorder="0" applyAlignment="0" applyProtection="0"/>
    <xf numFmtId="9" fontId="87" fillId="0" borderId="0" applyFont="0" applyFill="0" applyBorder="0" applyAlignment="0" applyProtection="0"/>
    <xf numFmtId="0" fontId="17" fillId="0" borderId="0" applyNumberFormat="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56"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56"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56"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87"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4"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5" fillId="0" borderId="0" applyFont="0" applyFill="0" applyBorder="0" applyAlignment="0" applyProtection="0"/>
    <xf numFmtId="9" fontId="10" fillId="0" borderId="0" applyFont="0" applyFill="0" applyBorder="0" applyAlignment="0" applyProtection="0"/>
    <xf numFmtId="9" fontId="105"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7" fillId="0" borderId="0" applyFont="0" applyFill="0" applyBorder="0" applyAlignment="0" applyProtection="0"/>
    <xf numFmtId="9" fontId="56"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7" fillId="0" borderId="0" applyFont="0" applyFill="0" applyBorder="0" applyAlignment="0" applyProtection="0"/>
    <xf numFmtId="9" fontId="56" fillId="0" borderId="0" applyFont="0" applyFill="0" applyBorder="0" applyAlignment="0" applyProtection="0"/>
    <xf numFmtId="0" fontId="17" fillId="0" borderId="0" applyNumberFormat="0" applyFont="0" applyFill="0" applyBorder="0" applyAlignment="0" applyProtection="0"/>
    <xf numFmtId="9" fontId="56" fillId="0" borderId="0" applyFont="0" applyFill="0" applyBorder="0" applyAlignment="0" applyProtection="0"/>
    <xf numFmtId="0" fontId="17" fillId="0" borderId="0" applyNumberFormat="0" applyFont="0" applyFill="0" applyBorder="0" applyAlignment="0" applyProtection="0"/>
    <xf numFmtId="9" fontId="4" fillId="0" borderId="0" applyFont="0" applyFill="0" applyBorder="0" applyAlignment="0" applyProtection="0"/>
    <xf numFmtId="0" fontId="17" fillId="0" borderId="0" applyNumberFormat="0" applyFont="0" applyFill="0" applyBorder="0" applyAlignment="0" applyProtection="0"/>
    <xf numFmtId="9" fontId="4"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7" fillId="0" borderId="0" applyFont="0" applyFill="0" applyBorder="0" applyAlignment="0" applyProtection="0"/>
    <xf numFmtId="9" fontId="4" fillId="0" borderId="0" applyFont="0" applyFill="0" applyBorder="0" applyAlignment="0" applyProtection="0"/>
    <xf numFmtId="0" fontId="17" fillId="0" borderId="0" applyNumberFormat="0" applyFont="0" applyFill="0" applyBorder="0" applyAlignment="0" applyProtection="0"/>
    <xf numFmtId="9" fontId="4"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applyNumberFormat="0" applyFont="0" applyFill="0" applyBorder="0" applyAlignment="0" applyProtection="0"/>
    <xf numFmtId="9" fontId="17" fillId="0" borderId="0" applyFont="0" applyFill="0" applyBorder="0" applyAlignment="0" applyProtection="0"/>
    <xf numFmtId="9" fontId="10" fillId="0" borderId="0" applyFont="0" applyFill="0" applyBorder="0" applyAlignment="0" applyProtection="0"/>
    <xf numFmtId="9" fontId="87"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17"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 fontId="162" fillId="63" borderId="58" applyNumberFormat="0" applyProtection="0">
      <alignment vertical="center"/>
    </xf>
    <xf numFmtId="4" fontId="163" fillId="81" borderId="58" applyNumberFormat="0" applyProtection="0">
      <alignment vertical="center"/>
    </xf>
    <xf numFmtId="4" fontId="162" fillId="81" borderId="58" applyNumberFormat="0" applyProtection="0">
      <alignment horizontal="left" vertical="center" indent="1"/>
    </xf>
    <xf numFmtId="0" fontId="162" fillId="81" borderId="58" applyNumberFormat="0" applyProtection="0">
      <alignment horizontal="left" vertical="top" indent="1"/>
    </xf>
    <xf numFmtId="4" fontId="162" fillId="82" borderId="0" applyNumberFormat="0" applyProtection="0">
      <alignment horizontal="left" vertical="center" indent="1"/>
    </xf>
    <xf numFmtId="4" fontId="164" fillId="53" borderId="58" applyNumberFormat="0" applyProtection="0">
      <alignment horizontal="right" vertical="center"/>
    </xf>
    <xf numFmtId="4" fontId="164" fillId="62" borderId="58" applyNumberFormat="0" applyProtection="0">
      <alignment horizontal="right" vertical="center"/>
    </xf>
    <xf numFmtId="4" fontId="164" fillId="60" borderId="58" applyNumberFormat="0" applyProtection="0">
      <alignment horizontal="right" vertical="center"/>
    </xf>
    <xf numFmtId="4" fontId="164" fillId="65" borderId="58" applyNumberFormat="0" applyProtection="0">
      <alignment horizontal="right" vertical="center"/>
    </xf>
    <xf numFmtId="4" fontId="164" fillId="69" borderId="58" applyNumberFormat="0" applyProtection="0">
      <alignment horizontal="right" vertical="center"/>
    </xf>
    <xf numFmtId="4" fontId="164" fillId="74" borderId="58" applyNumberFormat="0" applyProtection="0">
      <alignment horizontal="right" vertical="center"/>
    </xf>
    <xf numFmtId="4" fontId="164" fillId="72" borderId="58" applyNumberFormat="0" applyProtection="0">
      <alignment horizontal="right" vertical="center"/>
    </xf>
    <xf numFmtId="4" fontId="164" fillId="83" borderId="58" applyNumberFormat="0" applyProtection="0">
      <alignment horizontal="right" vertical="center"/>
    </xf>
    <xf numFmtId="4" fontId="164" fillId="64" borderId="58" applyNumberFormat="0" applyProtection="0">
      <alignment horizontal="right" vertical="center"/>
    </xf>
    <xf numFmtId="4" fontId="162" fillId="84" borderId="59" applyNumberFormat="0" applyProtection="0">
      <alignment horizontal="left" vertical="center" indent="1"/>
    </xf>
    <xf numFmtId="4" fontId="164" fillId="85" borderId="0" applyNumberFormat="0" applyProtection="0">
      <alignment horizontal="left" vertical="center" indent="1"/>
    </xf>
    <xf numFmtId="4" fontId="165" fillId="86" borderId="0" applyNumberFormat="0" applyProtection="0">
      <alignment horizontal="left" vertical="center" indent="1"/>
    </xf>
    <xf numFmtId="4" fontId="164" fillId="87" borderId="58" applyNumberFormat="0" applyProtection="0">
      <alignment horizontal="right" vertical="center"/>
    </xf>
    <xf numFmtId="4" fontId="166" fillId="85" borderId="0" applyNumberFormat="0" applyProtection="0">
      <alignment horizontal="left" vertical="center" indent="1"/>
    </xf>
    <xf numFmtId="4" fontId="166" fillId="82" borderId="0" applyNumberFormat="0" applyProtection="0">
      <alignment horizontal="left" vertical="center" indent="1"/>
    </xf>
    <xf numFmtId="0" fontId="87" fillId="86" borderId="58" applyNumberFormat="0" applyProtection="0">
      <alignment horizontal="left" vertical="center" indent="1"/>
    </xf>
    <xf numFmtId="0" fontId="87" fillId="86" borderId="58" applyNumberFormat="0" applyProtection="0">
      <alignment horizontal="left" vertical="center" indent="1"/>
    </xf>
    <xf numFmtId="0" fontId="87" fillId="86" borderId="58" applyNumberFormat="0" applyProtection="0">
      <alignment horizontal="left" vertical="center" indent="1"/>
    </xf>
    <xf numFmtId="0" fontId="87" fillId="86" borderId="58" applyNumberFormat="0" applyProtection="0">
      <alignment horizontal="left" vertical="top" indent="1"/>
    </xf>
    <xf numFmtId="0" fontId="87" fillId="86" borderId="58" applyNumberFormat="0" applyProtection="0">
      <alignment horizontal="left" vertical="top" indent="1"/>
    </xf>
    <xf numFmtId="0" fontId="87" fillId="86" borderId="58" applyNumberFormat="0" applyProtection="0">
      <alignment horizontal="left" vertical="top" indent="1"/>
    </xf>
    <xf numFmtId="0" fontId="87" fillId="82" borderId="58" applyNumberFormat="0" applyProtection="0">
      <alignment horizontal="left" vertical="center" indent="1"/>
    </xf>
    <xf numFmtId="0" fontId="87" fillId="82" borderId="58" applyNumberFormat="0" applyProtection="0">
      <alignment horizontal="left" vertical="center" indent="1"/>
    </xf>
    <xf numFmtId="0" fontId="87" fillId="82" borderId="58" applyNumberFormat="0" applyProtection="0">
      <alignment horizontal="left" vertical="center" indent="1"/>
    </xf>
    <xf numFmtId="0" fontId="87" fillId="82" borderId="58" applyNumberFormat="0" applyProtection="0">
      <alignment horizontal="left" vertical="top" indent="1"/>
    </xf>
    <xf numFmtId="0" fontId="87" fillId="82" borderId="58" applyNumberFormat="0" applyProtection="0">
      <alignment horizontal="left" vertical="top" indent="1"/>
    </xf>
    <xf numFmtId="0" fontId="87" fillId="82" borderId="58" applyNumberFormat="0" applyProtection="0">
      <alignment horizontal="left" vertical="top" indent="1"/>
    </xf>
    <xf numFmtId="0" fontId="87" fillId="88" borderId="58" applyNumberFormat="0" applyProtection="0">
      <alignment horizontal="left" vertical="center" indent="1"/>
    </xf>
    <xf numFmtId="0" fontId="87" fillId="88" borderId="58" applyNumberFormat="0" applyProtection="0">
      <alignment horizontal="left" vertical="center" indent="1"/>
    </xf>
    <xf numFmtId="0" fontId="87" fillId="88" borderId="58" applyNumberFormat="0" applyProtection="0">
      <alignment horizontal="left" vertical="center" indent="1"/>
    </xf>
    <xf numFmtId="0" fontId="87" fillId="88" borderId="58" applyNumberFormat="0" applyProtection="0">
      <alignment horizontal="left" vertical="top" indent="1"/>
    </xf>
    <xf numFmtId="0" fontId="87" fillId="88" borderId="58" applyNumberFormat="0" applyProtection="0">
      <alignment horizontal="left" vertical="top" indent="1"/>
    </xf>
    <xf numFmtId="0" fontId="87" fillId="88" borderId="58" applyNumberFormat="0" applyProtection="0">
      <alignment horizontal="left" vertical="top" indent="1"/>
    </xf>
    <xf numFmtId="0" fontId="87" fillId="89" borderId="58" applyNumberFormat="0" applyProtection="0">
      <alignment horizontal="left" vertical="center" indent="1"/>
    </xf>
    <xf numFmtId="0" fontId="87" fillId="89" borderId="58" applyNumberFormat="0" applyProtection="0">
      <alignment horizontal="left" vertical="center" indent="1"/>
    </xf>
    <xf numFmtId="0" fontId="87" fillId="89" borderId="58" applyNumberFormat="0" applyProtection="0">
      <alignment horizontal="left" vertical="center" indent="1"/>
    </xf>
    <xf numFmtId="0" fontId="87" fillId="89" borderId="58" applyNumberFormat="0" applyProtection="0">
      <alignment horizontal="left" vertical="top" indent="1"/>
    </xf>
    <xf numFmtId="0" fontId="87" fillId="89" borderId="58" applyNumberFormat="0" applyProtection="0">
      <alignment horizontal="left" vertical="top" indent="1"/>
    </xf>
    <xf numFmtId="0" fontId="87" fillId="89" borderId="58" applyNumberFormat="0" applyProtection="0">
      <alignment horizontal="left" vertical="top" indent="1"/>
    </xf>
    <xf numFmtId="4" fontId="164" fillId="78" borderId="58" applyNumberFormat="0" applyProtection="0">
      <alignment vertical="center"/>
    </xf>
    <xf numFmtId="4" fontId="167" fillId="78" borderId="58" applyNumberFormat="0" applyProtection="0">
      <alignment vertical="center"/>
    </xf>
    <xf numFmtId="4" fontId="164" fillId="78" borderId="58" applyNumberFormat="0" applyProtection="0">
      <alignment horizontal="left" vertical="center" indent="1"/>
    </xf>
    <xf numFmtId="0" fontId="164" fillId="78" borderId="58" applyNumberFormat="0" applyProtection="0">
      <alignment horizontal="left" vertical="top" indent="1"/>
    </xf>
    <xf numFmtId="4" fontId="164" fillId="85" borderId="58" applyNumberFormat="0" applyProtection="0">
      <alignment horizontal="right" vertical="center"/>
    </xf>
    <xf numFmtId="4" fontId="164" fillId="90" borderId="46" applyNumberFormat="0" applyProtection="0">
      <alignment horizontal="right" vertical="center"/>
    </xf>
    <xf numFmtId="4" fontId="167" fillId="85" borderId="58" applyNumberFormat="0" applyProtection="0">
      <alignment horizontal="right" vertical="center"/>
    </xf>
    <xf numFmtId="4" fontId="164" fillId="87" borderId="58" applyNumberFormat="0" applyProtection="0">
      <alignment horizontal="left" vertical="center" indent="1"/>
    </xf>
    <xf numFmtId="0" fontId="164" fillId="82" borderId="58" applyNumberFormat="0" applyProtection="0">
      <alignment horizontal="left" vertical="top" indent="1"/>
    </xf>
    <xf numFmtId="4" fontId="168" fillId="91" borderId="0" applyNumberFormat="0" applyProtection="0">
      <alignment horizontal="left" vertical="center" indent="1"/>
    </xf>
    <xf numFmtId="4" fontId="169" fillId="85" borderId="58" applyNumberFormat="0" applyProtection="0">
      <alignment horizontal="right" vertical="center"/>
    </xf>
    <xf numFmtId="0" fontId="17" fillId="0" borderId="0" applyNumberFormat="0" applyFont="0" applyFill="0" applyBorder="0" applyAlignment="0" applyProtection="0"/>
    <xf numFmtId="0" fontId="170" fillId="0" borderId="0"/>
    <xf numFmtId="0" fontId="166" fillId="0" borderId="0">
      <alignment vertical="top"/>
    </xf>
    <xf numFmtId="0" fontId="171" fillId="0" borderId="60"/>
    <xf numFmtId="188" fontId="128" fillId="0" borderId="61" applyNumberFormat="0" applyFill="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8" fillId="0" borderId="44"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8" fillId="0" borderId="61"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8" fillId="0" borderId="61"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2" fillId="0" borderId="44" applyNumberFormat="0" applyFill="0" applyAlignment="0" applyProtection="0"/>
    <xf numFmtId="0" fontId="17" fillId="0" borderId="44" applyNumberFormat="0" applyFill="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27" fillId="0" borderId="62" applyNumberFormat="0" applyFill="0" applyAlignment="0" applyProtection="0"/>
    <xf numFmtId="0" fontId="127" fillId="0" borderId="62" applyNumberFormat="0" applyFill="0" applyAlignment="0" applyProtection="0"/>
    <xf numFmtId="0" fontId="127" fillId="0" borderId="62" applyNumberFormat="0" applyFill="0" applyAlignment="0" applyProtection="0"/>
    <xf numFmtId="188" fontId="128" fillId="0" borderId="61" applyNumberFormat="0" applyFill="0" applyAlignment="0" applyProtection="0"/>
    <xf numFmtId="0" fontId="127" fillId="0" borderId="62" applyNumberFormat="0" applyFill="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28" fillId="0" borderId="61" applyNumberFormat="0" applyFill="0" applyAlignment="0" applyProtection="0"/>
    <xf numFmtId="0" fontId="128" fillId="0" borderId="61" applyNumberFormat="0" applyFill="0" applyAlignment="0" applyProtection="0"/>
    <xf numFmtId="0" fontId="172" fillId="0" borderId="44" applyNumberFormat="0" applyFill="0" applyAlignment="0" applyProtection="0"/>
    <xf numFmtId="0" fontId="17" fillId="0" borderId="0" applyNumberFormat="0" applyFont="0" applyFill="0" applyBorder="0" applyAlignment="0" applyProtection="0"/>
    <xf numFmtId="188" fontId="128" fillId="0" borderId="61" applyNumberFormat="0" applyFill="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28" fillId="0" borderId="61" applyNumberFormat="0" applyFill="0" applyAlignment="0" applyProtection="0"/>
    <xf numFmtId="0" fontId="128" fillId="0" borderId="61" applyNumberFormat="0" applyFill="0" applyAlignment="0" applyProtection="0"/>
    <xf numFmtId="0" fontId="172" fillId="0" borderId="44" applyNumberFormat="0" applyFill="0" applyAlignment="0" applyProtection="0"/>
    <xf numFmtId="0" fontId="17" fillId="0" borderId="0" applyNumberFormat="0" applyFont="0" applyFill="0" applyBorder="0" applyAlignment="0" applyProtection="0"/>
    <xf numFmtId="0" fontId="18" fillId="0" borderId="44" applyNumberFormat="0" applyFill="0" applyAlignment="0" applyProtection="0"/>
    <xf numFmtId="0" fontId="172"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2" fillId="0" borderId="44" applyNumberFormat="0" applyFill="0" applyAlignment="0" applyProtection="0"/>
    <xf numFmtId="0" fontId="17" fillId="0" borderId="44" applyNumberFormat="0" applyFill="0" applyAlignment="0" applyProtection="0"/>
    <xf numFmtId="188" fontId="173"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78"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4" fillId="0" borderId="0" applyNumberFormat="0" applyFill="0" applyBorder="0" applyAlignment="0" applyProtection="0"/>
    <xf numFmtId="0" fontId="175"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188" fontId="173" fillId="0" borderId="0" applyNumberFormat="0" applyFill="0" applyBorder="0" applyAlignment="0" applyProtection="0"/>
    <xf numFmtId="0" fontId="173"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4" fillId="0" borderId="0" applyNumberFormat="0" applyFill="0" applyBorder="0" applyAlignment="0" applyProtection="0"/>
    <xf numFmtId="0" fontId="17" fillId="0" borderId="0" applyNumberFormat="0" applyFont="0" applyFill="0" applyBorder="0" applyAlignment="0" applyProtection="0"/>
    <xf numFmtId="188" fontId="173"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4" fillId="0" borderId="0" applyNumberFormat="0" applyFill="0" applyBorder="0" applyAlignment="0" applyProtection="0"/>
    <xf numFmtId="0" fontId="17" fillId="0" borderId="0" applyNumberFormat="0" applyFont="0" applyFill="0" applyBorder="0" applyAlignment="0" applyProtection="0"/>
    <xf numFmtId="0" fontId="78" fillId="0" borderId="0" applyNumberFormat="0" applyFill="0" applyBorder="0" applyAlignment="0" applyProtection="0"/>
    <xf numFmtId="0" fontId="174"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4" fillId="0" borderId="0" applyNumberFormat="0" applyFill="0" applyBorder="0" applyAlignment="0" applyProtection="0"/>
    <xf numFmtId="0" fontId="175" fillId="0" borderId="0" applyNumberFormat="0" applyFill="0" applyBorder="0" applyAlignment="0" applyProtection="0"/>
    <xf numFmtId="188" fontId="176"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77"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 fillId="0" borderId="0" applyNumberFormat="0" applyFont="0" applyFill="0" applyBorder="0" applyAlignment="0" applyProtection="0"/>
    <xf numFmtId="0" fontId="177"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 fillId="0" borderId="0" applyNumberFormat="0" applyFont="0" applyFill="0" applyBorder="0" applyAlignment="0" applyProtection="0"/>
    <xf numFmtId="0" fontId="177" fillId="0" borderId="0" applyNumberFormat="0" applyFill="0" applyBorder="0" applyAlignment="0" applyProtection="0"/>
    <xf numFmtId="0" fontId="17" fillId="0" borderId="0" applyNumberFormat="0" applyFont="0" applyFill="0" applyBorder="0" applyAlignment="0" applyProtection="0"/>
    <xf numFmtId="0" fontId="177" fillId="0" borderId="0" applyNumberFormat="0" applyFill="0" applyBorder="0" applyAlignment="0" applyProtection="0"/>
    <xf numFmtId="0" fontId="17" fillId="0" borderId="0" applyNumberFormat="0" applyFont="0" applyFill="0" applyBorder="0" applyAlignment="0" applyProtection="0"/>
    <xf numFmtId="0" fontId="177"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8"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188" fontId="176" fillId="0" borderId="0" applyNumberFormat="0" applyFill="0" applyBorder="0" applyAlignment="0" applyProtection="0"/>
    <xf numFmtId="0" fontId="177"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8" fillId="0" borderId="0" applyNumberFormat="0" applyFill="0" applyBorder="0" applyAlignment="0" applyProtection="0"/>
    <xf numFmtId="0" fontId="17" fillId="0" borderId="0" applyNumberFormat="0" applyFont="0" applyFill="0" applyBorder="0" applyAlignment="0" applyProtection="0"/>
    <xf numFmtId="188" fontId="176"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8" fillId="0" borderId="0" applyNumberFormat="0" applyFill="0" applyBorder="0" applyAlignment="0" applyProtection="0"/>
    <xf numFmtId="0" fontId="17" fillId="0" borderId="0" applyNumberFormat="0" applyFont="0" applyFill="0" applyBorder="0" applyAlignment="0" applyProtection="0"/>
    <xf numFmtId="0" fontId="77"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188" fontId="179"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1"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188" fontId="179" fillId="0" borderId="0" applyNumberFormat="0" applyFill="0" applyBorder="0" applyAlignment="0" applyProtection="0"/>
    <xf numFmtId="0" fontId="180"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 fillId="0" borderId="0" applyNumberFormat="0" applyFont="0" applyFill="0" applyBorder="0" applyAlignment="0" applyProtection="0"/>
    <xf numFmtId="188" fontId="179"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 fillId="0" borderId="0" applyNumberFormat="0" applyFon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2" fillId="0" borderId="0" applyNumberFormat="0" applyFill="0" applyBorder="0" applyAlignment="0" applyProtection="0"/>
    <xf numFmtId="3" fontId="183" fillId="0" borderId="0"/>
    <xf numFmtId="209" fontId="154" fillId="0" borderId="0">
      <alignment horizontal="left"/>
    </xf>
    <xf numFmtId="0" fontId="17"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17"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17"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17" fillId="27" borderId="43" applyNumberFormat="0" applyFont="0" applyAlignment="0" applyProtection="0"/>
    <xf numFmtId="0" fontId="17" fillId="27" borderId="43" applyNumberFormat="0" applyFont="0" applyAlignment="0" applyProtection="0"/>
    <xf numFmtId="0" fontId="17" fillId="27" borderId="43" applyNumberFormat="0" applyFont="0" applyAlignment="0" applyProtection="0"/>
    <xf numFmtId="0" fontId="17" fillId="27" borderId="43" applyNumberFormat="0" applyFont="0" applyAlignment="0" applyProtection="0"/>
    <xf numFmtId="0" fontId="17" fillId="27" borderId="43" applyNumberFormat="0" applyFont="0" applyAlignment="0" applyProtection="0"/>
    <xf numFmtId="0" fontId="17" fillId="27" borderId="43" applyNumberFormat="0" applyFont="0" applyAlignment="0" applyProtection="0"/>
    <xf numFmtId="0" fontId="17" fillId="27" borderId="43" applyNumberFormat="0" applyFont="0" applyAlignment="0" applyProtection="0"/>
    <xf numFmtId="188" fontId="87" fillId="59" borderId="63" applyNumberFormat="0" applyFon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27" borderId="43"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43" applyNumberFormat="0" applyFont="0" applyFill="0" applyAlignment="0" applyProtection="0"/>
    <xf numFmtId="0" fontId="17" fillId="27" borderId="43" applyNumberFormat="0" applyFont="0" applyAlignment="0" applyProtection="0"/>
    <xf numFmtId="0" fontId="17" fillId="27" borderId="43"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43" applyNumberFormat="0" applyFont="0" applyFill="0" applyAlignment="0" applyProtection="0"/>
    <xf numFmtId="0" fontId="17" fillId="27" borderId="43"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27" borderId="43"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87" fillId="59" borderId="63"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87" fillId="59" borderId="63"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0" borderId="0" applyNumberFormat="0" applyFont="0" applyFill="0" applyBorder="0" applyAlignment="0" applyProtection="0"/>
    <xf numFmtId="0" fontId="10" fillId="59" borderId="64" applyNumberFormat="0" applyFont="0" applyAlignment="0" applyProtection="0"/>
    <xf numFmtId="0" fontId="10" fillId="59" borderId="64" applyNumberFormat="0" applyFont="0" applyAlignment="0" applyProtection="0"/>
    <xf numFmtId="0" fontId="10" fillId="59" borderId="64" applyNumberFormat="0" applyFont="0" applyAlignment="0" applyProtection="0"/>
    <xf numFmtId="0" fontId="17" fillId="27" borderId="43" applyNumberFormat="0" applyFont="0" applyAlignment="0" applyProtection="0"/>
    <xf numFmtId="0" fontId="17" fillId="0" borderId="43" applyNumberFormat="0" applyFont="0" applyFill="0" applyAlignment="0" applyProtection="0"/>
    <xf numFmtId="0" fontId="17" fillId="27" borderId="43" applyNumberFormat="0" applyFont="0" applyAlignment="0" applyProtection="0"/>
    <xf numFmtId="0" fontId="17" fillId="27" borderId="43" applyNumberFormat="0" applyFont="0" applyAlignment="0" applyProtection="0"/>
    <xf numFmtId="0" fontId="17" fillId="27" borderId="43" applyNumberFormat="0" applyFont="0" applyAlignment="0" applyProtection="0"/>
    <xf numFmtId="0" fontId="17" fillId="27" borderId="43" applyNumberFormat="0" applyFont="0" applyAlignment="0" applyProtection="0"/>
    <xf numFmtId="0" fontId="17" fillId="27" borderId="43" applyNumberFormat="0" applyFont="0" applyAlignment="0" applyProtection="0"/>
    <xf numFmtId="0" fontId="17" fillId="27" borderId="43" applyNumberFormat="0" applyFont="0" applyAlignment="0" applyProtection="0"/>
    <xf numFmtId="0" fontId="17" fillId="27" borderId="43" applyNumberFormat="0" applyFont="0" applyAlignment="0" applyProtection="0"/>
    <xf numFmtId="0" fontId="17" fillId="27" borderId="43" applyNumberFormat="0" applyFont="0" applyAlignment="0" applyProtection="0"/>
    <xf numFmtId="0" fontId="17" fillId="27" borderId="43" applyNumberFormat="0" applyFont="0" applyAlignment="0" applyProtection="0"/>
    <xf numFmtId="0" fontId="17" fillId="27" borderId="43" applyNumberFormat="0" applyFont="0" applyAlignment="0" applyProtection="0"/>
    <xf numFmtId="188" fontId="87" fillId="59" borderId="6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0" applyNumberFormat="0" applyFont="0" applyFill="0" applyBorder="0" applyAlignment="0" applyProtection="0"/>
    <xf numFmtId="0" fontId="10" fillId="27" borderId="43" applyNumberFormat="0" applyFont="0" applyAlignment="0" applyProtection="0"/>
    <xf numFmtId="0" fontId="17" fillId="0" borderId="0" applyNumberFormat="0" applyFont="0" applyFill="0" applyBorder="0" applyAlignment="0" applyProtection="0"/>
    <xf numFmtId="0" fontId="10" fillId="27" borderId="43" applyNumberFormat="0" applyFont="0" applyAlignment="0" applyProtection="0"/>
    <xf numFmtId="0" fontId="17" fillId="0" borderId="0" applyNumberFormat="0" applyFont="0" applyFill="0" applyBorder="0" applyAlignment="0" applyProtection="0"/>
    <xf numFmtId="0" fontId="10" fillId="27" borderId="43" applyNumberFormat="0" applyFont="0" applyAlignment="0" applyProtection="0"/>
    <xf numFmtId="0" fontId="17" fillId="0" borderId="0" applyNumberFormat="0" applyFont="0" applyFill="0" applyBorder="0" applyAlignment="0" applyProtection="0"/>
    <xf numFmtId="0" fontId="10" fillId="27" borderId="43" applyNumberFormat="0" applyFont="0" applyAlignment="0" applyProtection="0"/>
    <xf numFmtId="0" fontId="17" fillId="0" borderId="0" applyNumberFormat="0" applyFont="0" applyFill="0" applyBorder="0" applyAlignment="0" applyProtection="0"/>
    <xf numFmtId="0" fontId="10" fillId="27" borderId="43" applyNumberFormat="0" applyFont="0" applyAlignment="0" applyProtection="0"/>
    <xf numFmtId="0" fontId="17" fillId="0" borderId="0" applyNumberFormat="0" applyFont="0" applyFill="0" applyBorder="0" applyAlignment="0" applyProtection="0"/>
    <xf numFmtId="0" fontId="10" fillId="27" borderId="43" applyNumberFormat="0" applyFont="0" applyAlignment="0" applyProtection="0"/>
    <xf numFmtId="0" fontId="17" fillId="0" borderId="0" applyNumberFormat="0" applyFont="0" applyFill="0" applyBorder="0" applyAlignment="0" applyProtection="0"/>
    <xf numFmtId="0" fontId="10" fillId="27" borderId="43" applyNumberFormat="0" applyFont="0" applyAlignment="0" applyProtection="0"/>
    <xf numFmtId="0" fontId="17" fillId="0" borderId="0" applyNumberFormat="0" applyFont="0" applyFill="0" applyBorder="0" applyAlignment="0" applyProtection="0"/>
    <xf numFmtId="0" fontId="10" fillId="27" borderId="43" applyNumberFormat="0" applyFont="0" applyAlignment="0" applyProtection="0"/>
    <xf numFmtId="0" fontId="17"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0" applyNumberFormat="0" applyFont="0" applyFill="0" applyBorder="0" applyAlignment="0" applyProtection="0"/>
    <xf numFmtId="0" fontId="10" fillId="27" borderId="43" applyNumberFormat="0" applyFont="0" applyAlignment="0" applyProtection="0"/>
    <xf numFmtId="0" fontId="17" fillId="0" borderId="0" applyNumberFormat="0" applyFont="0" applyFill="0" applyBorder="0" applyAlignment="0" applyProtection="0"/>
    <xf numFmtId="0" fontId="10" fillId="27" borderId="43" applyNumberFormat="0" applyFont="0" applyAlignment="0" applyProtection="0"/>
    <xf numFmtId="0" fontId="17" fillId="0" borderId="0" applyNumberFormat="0" applyFont="0" applyFill="0" applyBorder="0" applyAlignment="0" applyProtection="0"/>
    <xf numFmtId="0" fontId="10" fillId="27" borderId="43" applyNumberFormat="0" applyFont="0" applyAlignment="0" applyProtection="0"/>
    <xf numFmtId="0" fontId="17" fillId="0" borderId="0" applyNumberFormat="0" applyFont="0" applyFill="0" applyBorder="0" applyAlignment="0" applyProtection="0"/>
    <xf numFmtId="0" fontId="10" fillId="27" borderId="43" applyNumberFormat="0" applyFont="0" applyAlignment="0" applyProtection="0"/>
    <xf numFmtId="0" fontId="17" fillId="0" borderId="0" applyNumberFormat="0" applyFont="0" applyFill="0" applyBorder="0" applyAlignment="0" applyProtection="0"/>
    <xf numFmtId="0" fontId="10" fillId="27" borderId="43" applyNumberFormat="0" applyFont="0" applyAlignment="0" applyProtection="0"/>
    <xf numFmtId="0" fontId="17" fillId="0" borderId="0" applyNumberFormat="0" applyFont="0" applyFill="0" applyBorder="0" applyAlignment="0" applyProtection="0"/>
    <xf numFmtId="0" fontId="10" fillId="27" borderId="43" applyNumberFormat="0" applyFont="0" applyAlignment="0" applyProtection="0"/>
    <xf numFmtId="0" fontId="17" fillId="0" borderId="0" applyNumberFormat="0" applyFont="0" applyFill="0" applyBorder="0" applyAlignment="0" applyProtection="0"/>
    <xf numFmtId="0" fontId="10" fillId="27" borderId="43" applyNumberFormat="0" applyFont="0" applyAlignment="0" applyProtection="0"/>
    <xf numFmtId="0" fontId="17" fillId="0" borderId="0" applyNumberFormat="0" applyFont="0" applyFill="0" applyBorder="0" applyAlignment="0" applyProtection="0"/>
    <xf numFmtId="0" fontId="10" fillId="27" borderId="43" applyNumberFormat="0" applyFont="0" applyAlignment="0" applyProtection="0"/>
    <xf numFmtId="0" fontId="17" fillId="0" borderId="0" applyNumberFormat="0" applyFont="0" applyFill="0" applyBorder="0" applyAlignment="0" applyProtection="0"/>
    <xf numFmtId="0" fontId="10" fillId="27" borderId="43" applyNumberFormat="0" applyFont="0" applyAlignment="0" applyProtection="0"/>
    <xf numFmtId="0" fontId="17" fillId="0" borderId="0" applyNumberFormat="0" applyFont="0" applyFill="0" applyBorder="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17" fillId="0" borderId="43" applyNumberFormat="0" applyFont="0" applyFill="0" applyAlignment="0" applyProtection="0"/>
    <xf numFmtId="0" fontId="10" fillId="27" borderId="43" applyNumberFormat="0" applyFont="0" applyAlignment="0" applyProtection="0"/>
    <xf numFmtId="0" fontId="87" fillId="59" borderId="63" applyNumberFormat="0" applyFont="0" applyAlignment="0" applyProtection="0"/>
    <xf numFmtId="0" fontId="10" fillId="27" borderId="43" applyNumberFormat="0" applyFont="0" applyAlignment="0" applyProtection="0"/>
    <xf numFmtId="0" fontId="87" fillId="59" borderId="6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0" fillId="27" borderId="43" applyNumberFormat="0" applyFont="0" applyAlignment="0" applyProtection="0"/>
    <xf numFmtId="0" fontId="10" fillId="27" borderId="43" applyNumberFormat="0" applyFont="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0" borderId="43" applyNumberFormat="0" applyFont="0" applyFill="0" applyAlignment="0" applyProtection="0"/>
    <xf numFmtId="0" fontId="17" fillId="27" borderId="43" applyNumberFormat="0" applyFont="0" applyAlignment="0" applyProtection="0"/>
    <xf numFmtId="0" fontId="17" fillId="27" borderId="43" applyNumberFormat="0" applyFont="0" applyAlignment="0" applyProtection="0"/>
    <xf numFmtId="0" fontId="17"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188" fontId="87" fillId="59" borderId="63" applyNumberFormat="0" applyFon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27" borderId="43" applyNumberFormat="0" applyFont="0" applyAlignment="0" applyProtection="0"/>
    <xf numFmtId="0" fontId="17" fillId="0" borderId="0" applyNumberFormat="0" applyFont="0" applyFill="0" applyBorder="0" applyAlignment="0" applyProtection="0"/>
    <xf numFmtId="0" fontId="87" fillId="59" borderId="63" applyNumberFormat="0" applyFont="0" applyAlignment="0" applyProtection="0"/>
    <xf numFmtId="0" fontId="87" fillId="59" borderId="63" applyNumberFormat="0" applyFont="0" applyAlignment="0" applyProtection="0"/>
    <xf numFmtId="0" fontId="17" fillId="27" borderId="43" applyNumberFormat="0" applyFont="0" applyAlignment="0" applyProtection="0"/>
    <xf numFmtId="0" fontId="17" fillId="0" borderId="43" applyNumberFormat="0" applyFont="0" applyFill="0" applyAlignment="0" applyProtection="0"/>
    <xf numFmtId="0" fontId="17" fillId="27" borderId="43" applyNumberFormat="0" applyFont="0" applyAlignment="0" applyProtection="0"/>
    <xf numFmtId="0" fontId="17" fillId="0" borderId="0" applyNumberFormat="0" applyFont="0" applyFill="0" applyBorder="0" applyAlignment="0" applyProtection="0"/>
    <xf numFmtId="0" fontId="17" fillId="27" borderId="43" applyNumberFormat="0" applyFont="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17" fillId="27" borderId="43" applyNumberFormat="0" applyFont="0" applyAlignment="0" applyProtection="0"/>
    <xf numFmtId="0" fontId="17" fillId="27" borderId="43" applyNumberFormat="0" applyFont="0" applyAlignment="0" applyProtection="0"/>
    <xf numFmtId="0" fontId="17" fillId="27" borderId="43" applyNumberFormat="0" applyFont="0" applyAlignment="0" applyProtection="0"/>
    <xf numFmtId="0" fontId="17" fillId="0" borderId="43" applyNumberFormat="0" applyFont="0" applyFill="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17" fillId="27" borderId="43" applyNumberFormat="0" applyFont="0" applyAlignment="0" applyProtection="0"/>
    <xf numFmtId="0" fontId="17" fillId="27" borderId="43" applyNumberFormat="0" applyFont="0" applyAlignment="0" applyProtection="0"/>
    <xf numFmtId="0" fontId="17" fillId="27" borderId="43" applyNumberFormat="0" applyFont="0" applyAlignment="0" applyProtection="0"/>
    <xf numFmtId="0" fontId="17" fillId="0" borderId="43" applyNumberFormat="0" applyFont="0" applyFill="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17" fillId="27" borderId="43" applyNumberFormat="0" applyFont="0" applyAlignment="0" applyProtection="0"/>
    <xf numFmtId="0" fontId="17" fillId="27" borderId="43" applyNumberFormat="0" applyFont="0" applyAlignment="0" applyProtection="0"/>
    <xf numFmtId="0" fontId="17" fillId="27" borderId="43" applyNumberFormat="0" applyFont="0" applyAlignment="0" applyProtection="0"/>
    <xf numFmtId="0" fontId="17" fillId="0" borderId="43" applyNumberFormat="0" applyFont="0" applyFill="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17" fillId="27" borderId="43" applyNumberFormat="0" applyFont="0" applyAlignment="0" applyProtection="0"/>
    <xf numFmtId="0" fontId="17" fillId="27" borderId="43" applyNumberFormat="0" applyFont="0" applyAlignment="0" applyProtection="0"/>
    <xf numFmtId="0" fontId="17"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17"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0" fontId="4" fillId="27" borderId="43" applyNumberFormat="0" applyFont="0" applyAlignment="0" applyProtection="0"/>
    <xf numFmtId="194" fontId="131" fillId="0" borderId="0"/>
    <xf numFmtId="211" fontId="92" fillId="0" borderId="0" applyFont="0" applyFill="0" applyBorder="0" applyAlignment="0" applyProtection="0"/>
    <xf numFmtId="190" fontId="91" fillId="0" borderId="0" applyFont="0" applyFill="0" applyBorder="0" applyAlignment="0" applyProtection="0"/>
    <xf numFmtId="212" fontId="87" fillId="0" borderId="0" applyFont="0" applyFill="0" applyBorder="0" applyAlignment="0" applyProtection="0"/>
    <xf numFmtId="213" fontId="87" fillId="0" borderId="0" applyFont="0" applyFill="0" applyBorder="0" applyAlignment="0" applyProtection="0"/>
    <xf numFmtId="44" fontId="17"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44" fontId="87"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44" fontId="4" fillId="0" borderId="0" applyFont="0" applyFill="0" applyBorder="0" applyAlignment="0" applyProtection="0"/>
    <xf numFmtId="44" fontId="87"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44" fontId="87"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44" fontId="87"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44" fontId="17" fillId="0" borderId="0" applyFont="0" applyFill="0" applyBorder="0" applyAlignment="0" applyProtection="0"/>
    <xf numFmtId="44" fontId="4" fillId="0" borderId="0" applyFont="0" applyFill="0" applyBorder="0" applyAlignment="0" applyProtection="0"/>
    <xf numFmtId="188" fontId="184" fillId="53"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70" fillId="22"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85" fillId="22" borderId="0" applyNumberFormat="0" applyBorder="0" applyAlignment="0" applyProtection="0"/>
    <xf numFmtId="0" fontId="185"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188" fontId="184" fillId="53"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85" fillId="22" borderId="0" applyNumberFormat="0" applyBorder="0" applyAlignment="0" applyProtection="0"/>
    <xf numFmtId="0" fontId="185" fillId="0" borderId="0" applyNumberForma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188" fontId="184" fillId="53" borderId="0" applyNumberFormat="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7" fillId="0" borderId="0" applyNumberFormat="0" applyFont="0" applyFill="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85" fillId="22" borderId="0" applyNumberFormat="0" applyBorder="0" applyAlignment="0" applyProtection="0"/>
    <xf numFmtId="0" fontId="17" fillId="0" borderId="0" applyNumberFormat="0" applyFont="0" applyFill="0" applyBorder="0" applyAlignment="0" applyProtection="0"/>
    <xf numFmtId="0" fontId="70" fillId="22" borderId="0" applyNumberFormat="0" applyBorder="0" applyAlignment="0" applyProtection="0"/>
    <xf numFmtId="0" fontId="185" fillId="22" borderId="0" applyNumberFormat="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22" borderId="0" applyNumberFormat="0" applyBorder="0" applyAlignment="0" applyProtection="0"/>
    <xf numFmtId="0" fontId="185" fillId="0" borderId="0" applyNumberForma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80" fillId="0" borderId="0" applyFont="0" applyFill="0" applyBorder="0" applyAlignment="0" applyProtection="0"/>
  </cellStyleXfs>
  <cellXfs count="754">
    <xf numFmtId="0" fontId="0" fillId="0" borderId="0" xfId="0"/>
    <xf numFmtId="0" fontId="11" fillId="0" borderId="0" xfId="0" applyFont="1" applyBorder="1" applyAlignment="1">
      <alignment vertical="center"/>
    </xf>
    <xf numFmtId="0" fontId="11" fillId="0" borderId="0" xfId="0" applyFont="1" applyAlignment="1">
      <alignment vertical="center"/>
    </xf>
    <xf numFmtId="0" fontId="19" fillId="3" borderId="0" xfId="0" applyFont="1" applyFill="1" applyAlignment="1">
      <alignment vertical="center"/>
    </xf>
    <xf numFmtId="0" fontId="11" fillId="0" borderId="0" xfId="0" applyFont="1" applyFill="1" applyBorder="1" applyAlignment="1">
      <alignment vertical="center"/>
    </xf>
    <xf numFmtId="0" fontId="25" fillId="3" borderId="0" xfId="0" applyFont="1" applyFill="1" applyAlignment="1">
      <alignment vertical="center"/>
    </xf>
    <xf numFmtId="0" fontId="15" fillId="0" borderId="0" xfId="0" applyFont="1" applyAlignment="1">
      <alignment vertical="center"/>
    </xf>
    <xf numFmtId="0" fontId="15" fillId="0" borderId="0" xfId="0" applyFont="1"/>
    <xf numFmtId="0" fontId="26" fillId="3" borderId="4" xfId="0" applyFont="1" applyFill="1" applyBorder="1" applyAlignment="1">
      <alignment vertical="center" wrapText="1"/>
    </xf>
    <xf numFmtId="0" fontId="26" fillId="3" borderId="5" xfId="0" applyFont="1" applyFill="1" applyBorder="1" applyAlignment="1">
      <alignment vertical="center" wrapText="1"/>
    </xf>
    <xf numFmtId="0" fontId="15" fillId="3" borderId="0" xfId="0" applyFont="1" applyFill="1" applyAlignment="1">
      <alignment vertical="center"/>
    </xf>
    <xf numFmtId="0" fontId="15" fillId="3" borderId="0" xfId="0" applyFont="1" applyFill="1" applyBorder="1" applyAlignment="1">
      <alignment vertical="center"/>
    </xf>
    <xf numFmtId="0" fontId="15" fillId="3" borderId="0" xfId="0" applyFont="1" applyFill="1"/>
    <xf numFmtId="0" fontId="28" fillId="6" borderId="6" xfId="0" applyFont="1" applyFill="1" applyBorder="1" applyAlignment="1">
      <alignment vertical="center" wrapText="1"/>
    </xf>
    <xf numFmtId="0" fontId="15" fillId="3" borderId="0" xfId="0" applyFont="1" applyFill="1" applyBorder="1"/>
    <xf numFmtId="0" fontId="27" fillId="3" borderId="0" xfId="0" applyFont="1" applyFill="1"/>
    <xf numFmtId="0" fontId="32" fillId="3" borderId="0" xfId="0" applyFont="1" applyFill="1" applyAlignment="1">
      <alignment vertical="center"/>
    </xf>
    <xf numFmtId="0" fontId="32" fillId="0" borderId="0" xfId="0" applyFont="1" applyAlignment="1">
      <alignment vertical="center"/>
    </xf>
    <xf numFmtId="0" fontId="18" fillId="3" borderId="23" xfId="0" applyFont="1" applyFill="1" applyBorder="1" applyAlignment="1">
      <alignment vertical="center" wrapText="1"/>
    </xf>
    <xf numFmtId="0" fontId="18" fillId="3" borderId="0" xfId="0" applyFont="1" applyFill="1" applyAlignment="1">
      <alignment vertical="center"/>
    </xf>
    <xf numFmtId="3" fontId="18" fillId="3" borderId="0" xfId="0" applyNumberFormat="1" applyFont="1" applyFill="1" applyBorder="1" applyAlignment="1">
      <alignment horizontal="right" vertical="center" wrapText="1"/>
    </xf>
    <xf numFmtId="3" fontId="31" fillId="3" borderId="0" xfId="0" applyNumberFormat="1" applyFont="1" applyFill="1" applyAlignment="1">
      <alignment horizontal="right"/>
    </xf>
    <xf numFmtId="0" fontId="36" fillId="3" borderId="0" xfId="0" applyFont="1" applyFill="1" applyAlignment="1"/>
    <xf numFmtId="3" fontId="28" fillId="3" borderId="0" xfId="0" applyNumberFormat="1" applyFont="1" applyFill="1" applyBorder="1" applyAlignment="1">
      <alignment horizontal="right"/>
    </xf>
    <xf numFmtId="3" fontId="31" fillId="3" borderId="0" xfId="0" applyNumberFormat="1" applyFont="1" applyFill="1" applyBorder="1" applyAlignment="1">
      <alignment horizontal="right"/>
    </xf>
    <xf numFmtId="0" fontId="32" fillId="3" borderId="0" xfId="0" applyFont="1" applyFill="1"/>
    <xf numFmtId="0" fontId="32" fillId="0" borderId="0" xfId="0" applyFont="1"/>
    <xf numFmtId="0" fontId="27" fillId="4" borderId="27" xfId="0" applyFont="1" applyFill="1" applyBorder="1" applyAlignment="1">
      <alignment horizontal="right" vertical="center"/>
    </xf>
    <xf numFmtId="0" fontId="40" fillId="3" borderId="0" xfId="0" applyFont="1" applyFill="1"/>
    <xf numFmtId="0" fontId="15" fillId="0" borderId="0" xfId="0" applyFont="1" applyBorder="1"/>
    <xf numFmtId="172" fontId="15" fillId="3" borderId="11" xfId="0" applyNumberFormat="1" applyFont="1" applyFill="1" applyBorder="1" applyAlignment="1">
      <alignment vertical="center"/>
    </xf>
    <xf numFmtId="169" fontId="15" fillId="3" borderId="0" xfId="0" applyNumberFormat="1" applyFont="1" applyFill="1" applyBorder="1" applyAlignment="1">
      <alignment vertical="center"/>
    </xf>
    <xf numFmtId="172" fontId="15" fillId="3" borderId="0" xfId="0" applyNumberFormat="1" applyFont="1" applyFill="1" applyBorder="1" applyAlignment="1">
      <alignment vertical="center"/>
    </xf>
    <xf numFmtId="173" fontId="38" fillId="3" borderId="0" xfId="1" applyNumberFormat="1" applyFont="1" applyFill="1" applyBorder="1" applyAlignment="1">
      <alignment horizontal="right" vertical="center"/>
    </xf>
    <xf numFmtId="173" fontId="15" fillId="3" borderId="0" xfId="0" applyNumberFormat="1" applyFont="1" applyFill="1" applyBorder="1" applyAlignment="1">
      <alignment vertical="center"/>
    </xf>
    <xf numFmtId="172" fontId="38" fillId="3" borderId="0" xfId="1" applyNumberFormat="1" applyFont="1" applyFill="1" applyBorder="1" applyAlignment="1">
      <alignment horizontal="right" vertical="center"/>
    </xf>
    <xf numFmtId="171" fontId="15" fillId="3" borderId="0" xfId="0" applyNumberFormat="1" applyFont="1" applyFill="1" applyBorder="1" applyAlignment="1">
      <alignment vertical="center"/>
    </xf>
    <xf numFmtId="172" fontId="40" fillId="3" borderId="0" xfId="0" applyNumberFormat="1" applyFont="1" applyFill="1" applyBorder="1" applyAlignment="1">
      <alignment vertical="center"/>
    </xf>
    <xf numFmtId="173" fontId="40" fillId="3" borderId="0" xfId="0" applyNumberFormat="1" applyFont="1" applyFill="1" applyBorder="1" applyAlignment="1">
      <alignment vertical="center"/>
    </xf>
    <xf numFmtId="171" fontId="15" fillId="3" borderId="18" xfId="0" applyNumberFormat="1" applyFont="1" applyFill="1" applyBorder="1" applyAlignment="1">
      <alignment vertical="center"/>
    </xf>
    <xf numFmtId="172" fontId="15" fillId="3" borderId="18" xfId="0" applyNumberFormat="1" applyFont="1" applyFill="1" applyBorder="1" applyAlignment="1">
      <alignment vertical="center"/>
    </xf>
    <xf numFmtId="164" fontId="38" fillId="3" borderId="0" xfId="0" applyNumberFormat="1" applyFont="1" applyFill="1" applyBorder="1" applyAlignment="1">
      <alignment horizontal="right" vertical="center"/>
    </xf>
    <xf numFmtId="169" fontId="40" fillId="3" borderId="0" xfId="0" applyNumberFormat="1" applyFont="1" applyFill="1" applyBorder="1" applyAlignment="1">
      <alignment vertical="center"/>
    </xf>
    <xf numFmtId="169" fontId="38" fillId="3" borderId="0" xfId="0" applyNumberFormat="1" applyFont="1" applyFill="1" applyBorder="1" applyAlignment="1">
      <alignment horizontal="right" vertical="center"/>
    </xf>
    <xf numFmtId="169" fontId="15" fillId="3" borderId="0" xfId="0" applyNumberFormat="1" applyFont="1" applyFill="1" applyAlignment="1">
      <alignment vertical="center"/>
    </xf>
    <xf numFmtId="164" fontId="41" fillId="3" borderId="0" xfId="0" applyNumberFormat="1" applyFont="1" applyFill="1" applyBorder="1" applyAlignment="1">
      <alignment horizontal="right" vertical="center"/>
    </xf>
    <xf numFmtId="164" fontId="42" fillId="3" borderId="0" xfId="0" applyNumberFormat="1" applyFont="1" applyFill="1" applyBorder="1" applyAlignment="1">
      <alignment horizontal="right" vertical="center"/>
    </xf>
    <xf numFmtId="0" fontId="15" fillId="3" borderId="4" xfId="0" applyFont="1" applyFill="1" applyBorder="1" applyAlignment="1">
      <alignment horizontal="left" vertical="center"/>
    </xf>
    <xf numFmtId="0" fontId="15" fillId="3" borderId="3" xfId="0" applyFont="1" applyFill="1" applyBorder="1" applyAlignment="1">
      <alignment horizontal="left" vertical="center"/>
    </xf>
    <xf numFmtId="0" fontId="15" fillId="3" borderId="5" xfId="0" applyFont="1" applyFill="1" applyBorder="1" applyAlignment="1">
      <alignment horizontal="left" vertical="center"/>
    </xf>
    <xf numFmtId="0" fontId="15" fillId="3" borderId="0" xfId="0" applyFont="1" applyFill="1" applyAlignment="1">
      <alignment horizontal="left" vertical="center"/>
    </xf>
    <xf numFmtId="169" fontId="27" fillId="12" borderId="7" xfId="0" applyNumberFormat="1" applyFont="1" applyFill="1" applyBorder="1" applyAlignment="1">
      <alignment vertical="center"/>
    </xf>
    <xf numFmtId="172" fontId="27" fillId="12" borderId="7" xfId="0" applyNumberFormat="1" applyFont="1" applyFill="1" applyBorder="1" applyAlignment="1">
      <alignment vertical="center"/>
    </xf>
    <xf numFmtId="0" fontId="39" fillId="3" borderId="3" xfId="0" applyFont="1" applyFill="1" applyBorder="1" applyAlignment="1">
      <alignment horizontal="left" vertical="center" indent="2"/>
    </xf>
    <xf numFmtId="171" fontId="15" fillId="3" borderId="11" xfId="0" applyNumberFormat="1" applyFont="1" applyFill="1" applyBorder="1" applyAlignment="1">
      <alignment vertical="center"/>
    </xf>
    <xf numFmtId="0" fontId="27" fillId="4" borderId="26" xfId="0" applyFont="1" applyFill="1" applyBorder="1" applyAlignment="1">
      <alignment horizontal="left" vertical="center"/>
    </xf>
    <xf numFmtId="172" fontId="27" fillId="4" borderId="27" xfId="0" applyNumberFormat="1" applyFont="1" applyFill="1" applyBorder="1" applyAlignment="1">
      <alignment vertical="center"/>
    </xf>
    <xf numFmtId="167" fontId="15" fillId="3" borderId="0" xfId="0" applyNumberFormat="1" applyFont="1" applyFill="1" applyBorder="1" applyAlignment="1">
      <alignment horizontal="right" vertical="center"/>
    </xf>
    <xf numFmtId="169" fontId="15" fillId="3" borderId="0" xfId="0" applyNumberFormat="1" applyFont="1" applyFill="1" applyBorder="1" applyAlignment="1">
      <alignment horizontal="right" vertical="center"/>
    </xf>
    <xf numFmtId="172" fontId="15" fillId="3" borderId="0" xfId="0" applyNumberFormat="1" applyFont="1" applyFill="1" applyBorder="1" applyAlignment="1">
      <alignment horizontal="right" vertical="center"/>
    </xf>
    <xf numFmtId="174" fontId="15" fillId="3" borderId="0" xfId="0" applyNumberFormat="1" applyFont="1" applyFill="1" applyBorder="1" applyAlignment="1">
      <alignment vertical="center"/>
    </xf>
    <xf numFmtId="174" fontId="40" fillId="3" borderId="0" xfId="0" applyNumberFormat="1" applyFont="1" applyFill="1" applyBorder="1" applyAlignment="1">
      <alignment vertical="center"/>
    </xf>
    <xf numFmtId="0" fontId="28" fillId="3" borderId="7" xfId="0" applyFont="1" applyFill="1" applyBorder="1" applyAlignment="1">
      <alignment vertical="center"/>
    </xf>
    <xf numFmtId="0" fontId="15" fillId="3" borderId="7" xfId="0" applyFont="1" applyFill="1" applyBorder="1"/>
    <xf numFmtId="0" fontId="15" fillId="3" borderId="7" xfId="0" applyFont="1" applyFill="1" applyBorder="1" applyAlignment="1">
      <alignment horizontal="right"/>
    </xf>
    <xf numFmtId="169" fontId="15" fillId="3" borderId="11" xfId="0" applyNumberFormat="1" applyFont="1" applyFill="1" applyBorder="1" applyAlignment="1">
      <alignment vertical="center"/>
    </xf>
    <xf numFmtId="174" fontId="15" fillId="3" borderId="11" xfId="0" applyNumberFormat="1" applyFont="1" applyFill="1" applyBorder="1" applyAlignment="1">
      <alignment vertical="center"/>
    </xf>
    <xf numFmtId="0" fontId="27" fillId="3" borderId="3" xfId="0" applyFont="1" applyFill="1" applyBorder="1" applyAlignment="1">
      <alignment horizontal="left" vertical="center"/>
    </xf>
    <xf numFmtId="0" fontId="27" fillId="13" borderId="27" xfId="0" applyFont="1" applyFill="1" applyBorder="1" applyAlignment="1">
      <alignment horizontal="right" vertical="center"/>
    </xf>
    <xf numFmtId="0" fontId="15" fillId="14" borderId="7" xfId="0" applyFont="1" applyFill="1" applyBorder="1"/>
    <xf numFmtId="173" fontId="15" fillId="14" borderId="0" xfId="0" applyNumberFormat="1" applyFont="1" applyFill="1" applyBorder="1" applyAlignment="1">
      <alignment vertical="center"/>
    </xf>
    <xf numFmtId="173" fontId="40" fillId="14" borderId="0" xfId="0" applyNumberFormat="1" applyFont="1" applyFill="1" applyBorder="1" applyAlignment="1">
      <alignment vertical="center"/>
    </xf>
    <xf numFmtId="173" fontId="38" fillId="14" borderId="0" xfId="1" applyNumberFormat="1" applyFont="1" applyFill="1" applyBorder="1" applyAlignment="1">
      <alignment horizontal="right" vertical="center"/>
    </xf>
    <xf numFmtId="164" fontId="38" fillId="14" borderId="0" xfId="0" applyNumberFormat="1" applyFont="1" applyFill="1" applyBorder="1" applyAlignment="1">
      <alignment horizontal="right" vertical="center"/>
    </xf>
    <xf numFmtId="172" fontId="27" fillId="12" borderId="8" xfId="0" applyNumberFormat="1" applyFont="1" applyFill="1" applyBorder="1" applyAlignment="1">
      <alignment vertical="center"/>
    </xf>
    <xf numFmtId="0" fontId="27" fillId="13" borderId="28" xfId="0" applyFont="1" applyFill="1" applyBorder="1" applyAlignment="1">
      <alignment horizontal="right" vertical="center"/>
    </xf>
    <xf numFmtId="0" fontId="27" fillId="4" borderId="26" xfId="0" applyFont="1" applyFill="1" applyBorder="1" applyAlignment="1">
      <alignment horizontal="right" vertical="center"/>
    </xf>
    <xf numFmtId="0" fontId="27" fillId="13" borderId="28" xfId="0" applyFont="1" applyFill="1" applyBorder="1" applyAlignment="1">
      <alignment horizontal="right" vertical="center" wrapText="1"/>
    </xf>
    <xf numFmtId="0" fontId="15" fillId="3" borderId="6" xfId="0" applyFont="1" applyFill="1" applyBorder="1"/>
    <xf numFmtId="0" fontId="15" fillId="14" borderId="8" xfId="0" applyFont="1" applyFill="1" applyBorder="1"/>
    <xf numFmtId="172" fontId="15" fillId="14" borderId="10" xfId="0" applyNumberFormat="1" applyFont="1" applyFill="1" applyBorder="1" applyAlignment="1">
      <alignment vertical="center"/>
    </xf>
    <xf numFmtId="173" fontId="38" fillId="3" borderId="3" xfId="1" applyNumberFormat="1" applyFont="1" applyFill="1" applyBorder="1" applyAlignment="1">
      <alignment horizontal="right" vertical="center"/>
    </xf>
    <xf numFmtId="173" fontId="40" fillId="3" borderId="3" xfId="0" applyNumberFormat="1" applyFont="1" applyFill="1" applyBorder="1" applyAlignment="1">
      <alignment vertical="center"/>
    </xf>
    <xf numFmtId="172" fontId="40" fillId="14" borderId="10" xfId="0" applyNumberFormat="1" applyFont="1" applyFill="1" applyBorder="1" applyAlignment="1">
      <alignment vertical="center"/>
    </xf>
    <xf numFmtId="172" fontId="15" fillId="14" borderId="19" xfId="0" applyNumberFormat="1" applyFont="1" applyFill="1" applyBorder="1" applyAlignment="1">
      <alignment vertical="center"/>
    </xf>
    <xf numFmtId="172" fontId="15" fillId="14" borderId="12" xfId="0" applyNumberFormat="1" applyFont="1" applyFill="1" applyBorder="1" applyAlignment="1">
      <alignment vertical="center"/>
    </xf>
    <xf numFmtId="173" fontId="15" fillId="14" borderId="10" xfId="0" applyNumberFormat="1" applyFont="1" applyFill="1" applyBorder="1" applyAlignment="1">
      <alignment vertical="center"/>
    </xf>
    <xf numFmtId="172" fontId="27" fillId="13" borderId="28" xfId="0" applyNumberFormat="1" applyFont="1" applyFill="1" applyBorder="1" applyAlignment="1">
      <alignment vertical="center"/>
    </xf>
    <xf numFmtId="174" fontId="15" fillId="14" borderId="12" xfId="0" applyNumberFormat="1" applyFont="1" applyFill="1" applyBorder="1" applyAlignment="1">
      <alignment vertical="center"/>
    </xf>
    <xf numFmtId="164" fontId="38" fillId="3" borderId="3" xfId="0" applyNumberFormat="1" applyFont="1" applyFill="1" applyBorder="1" applyAlignment="1">
      <alignment horizontal="right" vertical="center"/>
    </xf>
    <xf numFmtId="164" fontId="38" fillId="14" borderId="10" xfId="0" applyNumberFormat="1" applyFont="1" applyFill="1" applyBorder="1" applyAlignment="1">
      <alignment horizontal="right" vertical="center"/>
    </xf>
    <xf numFmtId="169" fontId="15" fillId="14" borderId="10" xfId="0" applyNumberFormat="1" applyFont="1" applyFill="1" applyBorder="1" applyAlignment="1">
      <alignment vertical="center"/>
    </xf>
    <xf numFmtId="176" fontId="15" fillId="14" borderId="10" xfId="0" applyNumberFormat="1" applyFont="1" applyFill="1" applyBorder="1" applyAlignment="1">
      <alignment vertical="center"/>
    </xf>
    <xf numFmtId="174" fontId="15" fillId="14" borderId="10" xfId="0" applyNumberFormat="1" applyFont="1" applyFill="1" applyBorder="1" applyAlignment="1">
      <alignment vertical="center"/>
    </xf>
    <xf numFmtId="174" fontId="40" fillId="14" borderId="10" xfId="0" applyNumberFormat="1" applyFont="1" applyFill="1" applyBorder="1" applyAlignment="1">
      <alignment vertical="center"/>
    </xf>
    <xf numFmtId="173" fontId="15" fillId="3" borderId="3" xfId="0" applyNumberFormat="1" applyFont="1" applyFill="1" applyBorder="1" applyAlignment="1">
      <alignment vertical="center"/>
    </xf>
    <xf numFmtId="173" fontId="40" fillId="14" borderId="10" xfId="0" applyNumberFormat="1" applyFont="1" applyFill="1" applyBorder="1" applyAlignment="1">
      <alignment vertical="center"/>
    </xf>
    <xf numFmtId="173" fontId="38" fillId="14" borderId="10" xfId="1" applyNumberFormat="1" applyFont="1" applyFill="1" applyBorder="1" applyAlignment="1">
      <alignment horizontal="right" vertical="center"/>
    </xf>
    <xf numFmtId="0" fontId="27" fillId="4" borderId="27" xfId="0" applyFont="1" applyFill="1" applyBorder="1" applyAlignment="1">
      <alignment horizontal="center" vertical="center" wrapText="1"/>
    </xf>
    <xf numFmtId="0" fontId="27" fillId="4" borderId="26" xfId="0" applyFont="1" applyFill="1" applyBorder="1" applyAlignment="1">
      <alignment horizontal="center" vertical="center" wrapText="1"/>
    </xf>
    <xf numFmtId="0" fontId="27" fillId="4" borderId="28" xfId="0" applyFont="1" applyFill="1" applyBorder="1" applyAlignment="1">
      <alignment horizontal="center" vertical="center" wrapText="1"/>
    </xf>
    <xf numFmtId="0" fontId="27" fillId="15" borderId="27" xfId="0" applyFont="1" applyFill="1" applyBorder="1" applyAlignment="1">
      <alignment horizontal="center" vertical="center" wrapText="1"/>
    </xf>
    <xf numFmtId="0" fontId="44" fillId="11" borderId="13" xfId="0" applyFont="1" applyFill="1" applyBorder="1" applyAlignment="1">
      <alignment horizontal="center" vertical="center"/>
    </xf>
    <xf numFmtId="0" fontId="44" fillId="11" borderId="0" xfId="0" applyFont="1" applyFill="1" applyBorder="1" applyAlignment="1">
      <alignment horizontal="center" vertical="center"/>
    </xf>
    <xf numFmtId="0" fontId="44" fillId="11" borderId="14" xfId="0" applyFont="1" applyFill="1" applyBorder="1" applyAlignment="1">
      <alignment horizontal="center" vertical="center"/>
    </xf>
    <xf numFmtId="0" fontId="44" fillId="11" borderId="11" xfId="0" applyFont="1" applyFill="1" applyBorder="1" applyAlignment="1">
      <alignment horizontal="center" vertical="center"/>
    </xf>
    <xf numFmtId="0" fontId="45" fillId="3" borderId="9" xfId="0" applyFont="1" applyFill="1" applyBorder="1" applyAlignment="1">
      <alignment horizontal="left" vertical="center" wrapText="1"/>
    </xf>
    <xf numFmtId="3" fontId="45" fillId="17" borderId="6" xfId="0" applyNumberFormat="1" applyFont="1" applyFill="1" applyBorder="1" applyAlignment="1">
      <alignment horizontal="center" vertical="center" wrapText="1"/>
    </xf>
    <xf numFmtId="3" fontId="45" fillId="17" borderId="7" xfId="0" applyNumberFormat="1" applyFont="1" applyFill="1" applyBorder="1" applyAlignment="1">
      <alignment horizontal="center" vertical="center" wrapText="1"/>
    </xf>
    <xf numFmtId="3" fontId="45" fillId="18" borderId="8" xfId="0" applyNumberFormat="1" applyFont="1" applyFill="1" applyBorder="1" applyAlignment="1">
      <alignment horizontal="center" vertical="center" wrapText="1"/>
    </xf>
    <xf numFmtId="3" fontId="45" fillId="3" borderId="6" xfId="0" applyNumberFormat="1" applyFont="1" applyFill="1" applyBorder="1" applyAlignment="1">
      <alignment horizontal="right" vertical="center" wrapText="1"/>
    </xf>
    <xf numFmtId="3" fontId="45" fillId="3" borderId="7" xfId="0" applyNumberFormat="1" applyFont="1" applyFill="1" applyBorder="1" applyAlignment="1">
      <alignment horizontal="right" vertical="center" wrapText="1"/>
    </xf>
    <xf numFmtId="0" fontId="47" fillId="2" borderId="3" xfId="0" applyFont="1" applyFill="1" applyBorder="1" applyAlignment="1">
      <alignment horizontal="left" vertical="center" wrapText="1"/>
    </xf>
    <xf numFmtId="3" fontId="24" fillId="2" borderId="3" xfId="0" applyNumberFormat="1" applyFont="1" applyFill="1" applyBorder="1" applyAlignment="1">
      <alignment horizontal="right" vertical="center" wrapText="1"/>
    </xf>
    <xf numFmtId="3" fontId="24" fillId="2" borderId="0" xfId="0" applyNumberFormat="1" applyFont="1" applyFill="1" applyBorder="1" applyAlignment="1">
      <alignment horizontal="right" vertical="center" wrapText="1"/>
    </xf>
    <xf numFmtId="3" fontId="24" fillId="19" borderId="0" xfId="0" applyNumberFormat="1" applyFont="1" applyFill="1" applyBorder="1" applyAlignment="1">
      <alignment horizontal="right" vertical="center" wrapText="1"/>
    </xf>
    <xf numFmtId="3" fontId="24" fillId="2" borderId="4" xfId="0" applyNumberFormat="1" applyFont="1" applyFill="1" applyBorder="1" applyAlignment="1">
      <alignment horizontal="right" vertical="center" wrapText="1"/>
    </xf>
    <xf numFmtId="168" fontId="24" fillId="2" borderId="3" xfId="6" applyNumberFormat="1" applyFont="1" applyFill="1" applyBorder="1" applyAlignment="1">
      <alignment horizontal="right" vertical="center" wrapText="1"/>
    </xf>
    <xf numFmtId="3" fontId="24" fillId="19" borderId="10" xfId="0" applyNumberFormat="1" applyFont="1" applyFill="1" applyBorder="1" applyAlignment="1">
      <alignment horizontal="right" vertical="center" wrapText="1"/>
    </xf>
    <xf numFmtId="0" fontId="22" fillId="3" borderId="3" xfId="0" applyFont="1" applyFill="1" applyBorder="1" applyAlignment="1">
      <alignment horizontal="left" vertical="center" wrapText="1"/>
    </xf>
    <xf numFmtId="3" fontId="45" fillId="3" borderId="3" xfId="0" applyNumberFormat="1" applyFont="1" applyFill="1" applyBorder="1" applyAlignment="1">
      <alignment horizontal="right" vertical="center" wrapText="1"/>
    </xf>
    <xf numFmtId="3" fontId="45" fillId="3" borderId="0" xfId="0" applyNumberFormat="1" applyFont="1" applyFill="1" applyBorder="1" applyAlignment="1">
      <alignment horizontal="right" vertical="center" wrapText="1"/>
    </xf>
    <xf numFmtId="3" fontId="45" fillId="18" borderId="0" xfId="0" applyNumberFormat="1" applyFont="1" applyFill="1" applyBorder="1" applyAlignment="1">
      <alignment horizontal="right" vertical="center" wrapText="1"/>
    </xf>
    <xf numFmtId="3" fontId="45" fillId="18" borderId="10" xfId="0" applyNumberFormat="1" applyFont="1" applyFill="1" applyBorder="1" applyAlignment="1">
      <alignment horizontal="right" vertical="center" wrapText="1"/>
    </xf>
    <xf numFmtId="0" fontId="48" fillId="3" borderId="3" xfId="0" applyFont="1" applyFill="1" applyBorder="1" applyAlignment="1">
      <alignment horizontal="left" vertical="center" wrapText="1" indent="1"/>
    </xf>
    <xf numFmtId="3" fontId="24" fillId="3" borderId="3" xfId="0" applyNumberFormat="1" applyFont="1" applyFill="1" applyBorder="1" applyAlignment="1">
      <alignment horizontal="right" vertical="center" wrapText="1"/>
    </xf>
    <xf numFmtId="3" fontId="24" fillId="3" borderId="0" xfId="0" applyNumberFormat="1" applyFont="1" applyFill="1" applyBorder="1" applyAlignment="1">
      <alignment horizontal="right" vertical="center" wrapText="1"/>
    </xf>
    <xf numFmtId="3" fontId="24" fillId="18" borderId="0" xfId="0" applyNumberFormat="1" applyFont="1" applyFill="1" applyBorder="1" applyAlignment="1">
      <alignment horizontal="right" vertical="center" wrapText="1"/>
    </xf>
    <xf numFmtId="3" fontId="36" fillId="3" borderId="0" xfId="0" applyNumberFormat="1" applyFont="1" applyFill="1" applyBorder="1" applyAlignment="1">
      <alignment horizontal="right" vertical="center" wrapText="1"/>
    </xf>
    <xf numFmtId="3" fontId="24" fillId="18" borderId="10" xfId="0" applyNumberFormat="1" applyFont="1" applyFill="1" applyBorder="1" applyAlignment="1">
      <alignment horizontal="right" vertical="center" wrapText="1"/>
    </xf>
    <xf numFmtId="0" fontId="49" fillId="3" borderId="3" xfId="0" applyFont="1" applyFill="1" applyBorder="1" applyAlignment="1">
      <alignment horizontal="left" vertical="center" wrapText="1" indent="3"/>
    </xf>
    <xf numFmtId="3" fontId="50" fillId="3" borderId="3" xfId="0" applyNumberFormat="1" applyFont="1" applyFill="1" applyBorder="1" applyAlignment="1">
      <alignment horizontal="right" vertical="center" wrapText="1"/>
    </xf>
    <xf numFmtId="3" fontId="50" fillId="3" borderId="0" xfId="0" applyNumberFormat="1" applyFont="1" applyFill="1" applyBorder="1" applyAlignment="1">
      <alignment horizontal="right" vertical="center" wrapText="1"/>
    </xf>
    <xf numFmtId="3" fontId="50" fillId="18" borderId="0" xfId="0" applyNumberFormat="1" applyFont="1" applyFill="1" applyBorder="1" applyAlignment="1">
      <alignment horizontal="right" vertical="center" wrapText="1"/>
    </xf>
    <xf numFmtId="3" fontId="16" fillId="3" borderId="0" xfId="0" applyNumberFormat="1" applyFont="1" applyFill="1" applyBorder="1" applyAlignment="1">
      <alignment horizontal="right" vertical="center" wrapText="1"/>
    </xf>
    <xf numFmtId="3" fontId="50" fillId="18" borderId="10" xfId="0" applyNumberFormat="1" applyFont="1" applyFill="1" applyBorder="1" applyAlignment="1">
      <alignment horizontal="right" vertical="center" wrapText="1"/>
    </xf>
    <xf numFmtId="3" fontId="50" fillId="0" borderId="0" xfId="0" applyNumberFormat="1" applyFont="1" applyFill="1" applyBorder="1" applyAlignment="1">
      <alignment horizontal="right" vertical="center" wrapText="1"/>
    </xf>
    <xf numFmtId="3" fontId="24" fillId="3" borderId="29" xfId="0" applyNumberFormat="1" applyFont="1" applyFill="1" applyBorder="1" applyAlignment="1">
      <alignment horizontal="right" vertical="center" wrapText="1"/>
    </xf>
    <xf numFmtId="3" fontId="24" fillId="3" borderId="30" xfId="0" applyNumberFormat="1" applyFont="1" applyFill="1" applyBorder="1" applyAlignment="1">
      <alignment horizontal="right" vertical="center" wrapText="1"/>
    </xf>
    <xf numFmtId="0" fontId="22" fillId="3" borderId="31" xfId="0" applyFont="1" applyFill="1" applyBorder="1" applyAlignment="1">
      <alignment horizontal="left" vertical="center" wrapText="1"/>
    </xf>
    <xf numFmtId="3" fontId="45" fillId="3" borderId="32" xfId="0" applyNumberFormat="1" applyFont="1" applyFill="1" applyBorder="1" applyAlignment="1">
      <alignment horizontal="right" vertical="center" wrapText="1"/>
    </xf>
    <xf numFmtId="3" fontId="45" fillId="3" borderId="33" xfId="0" applyNumberFormat="1" applyFont="1" applyFill="1" applyBorder="1" applyAlignment="1">
      <alignment horizontal="right" vertical="center" wrapText="1"/>
    </xf>
    <xf numFmtId="3" fontId="45" fillId="18" borderId="33" xfId="0" applyNumberFormat="1" applyFont="1" applyFill="1" applyBorder="1" applyAlignment="1">
      <alignment horizontal="right" vertical="center" wrapText="1"/>
    </xf>
    <xf numFmtId="3" fontId="23" fillId="3" borderId="33" xfId="0" applyNumberFormat="1" applyFont="1" applyFill="1" applyBorder="1" applyAlignment="1">
      <alignment horizontal="right" vertical="center" wrapText="1"/>
    </xf>
    <xf numFmtId="3" fontId="45" fillId="18" borderId="34" xfId="0" applyNumberFormat="1" applyFont="1" applyFill="1" applyBorder="1" applyAlignment="1">
      <alignment horizontal="right" vertical="center" wrapText="1"/>
    </xf>
    <xf numFmtId="166" fontId="24" fillId="3" borderId="4" xfId="0" applyNumberFormat="1" applyFont="1" applyFill="1" applyBorder="1" applyAlignment="1">
      <alignment horizontal="right" vertical="center" wrapText="1"/>
    </xf>
    <xf numFmtId="166" fontId="24" fillId="3" borderId="11" xfId="0" applyNumberFormat="1" applyFont="1" applyFill="1" applyBorder="1" applyAlignment="1">
      <alignment horizontal="right" vertical="center" wrapText="1"/>
    </xf>
    <xf numFmtId="166" fontId="24" fillId="18" borderId="11" xfId="0" applyNumberFormat="1" applyFont="1" applyFill="1" applyBorder="1" applyAlignment="1">
      <alignment horizontal="right" vertical="center" wrapText="1"/>
    </xf>
    <xf numFmtId="169" fontId="36" fillId="3" borderId="0" xfId="0" applyNumberFormat="1" applyFont="1" applyFill="1" applyBorder="1" applyAlignment="1">
      <alignment horizontal="right" vertical="center" wrapText="1"/>
    </xf>
    <xf numFmtId="166" fontId="24" fillId="18" borderId="12" xfId="0" applyNumberFormat="1" applyFont="1" applyFill="1" applyBorder="1" applyAlignment="1">
      <alignment horizontal="right" vertical="center" wrapText="1"/>
    </xf>
    <xf numFmtId="0" fontId="48" fillId="3" borderId="3" xfId="0" applyFont="1" applyFill="1" applyBorder="1" applyAlignment="1">
      <alignment horizontal="left" vertical="center" wrapText="1"/>
    </xf>
    <xf numFmtId="3" fontId="24" fillId="17" borderId="3" xfId="0" applyNumberFormat="1" applyFont="1" applyFill="1" applyBorder="1" applyAlignment="1">
      <alignment horizontal="right" vertical="center" wrapText="1"/>
    </xf>
    <xf numFmtId="3" fontId="24" fillId="17" borderId="0" xfId="0" applyNumberFormat="1" applyFont="1" applyFill="1" applyBorder="1" applyAlignment="1">
      <alignment horizontal="right" vertical="center" wrapText="1"/>
    </xf>
    <xf numFmtId="168" fontId="24" fillId="3" borderId="0" xfId="0" applyNumberFormat="1" applyFont="1" applyFill="1" applyBorder="1" applyAlignment="1">
      <alignment horizontal="right" vertical="center" wrapText="1"/>
    </xf>
    <xf numFmtId="168" fontId="24" fillId="18" borderId="0" xfId="0" applyNumberFormat="1" applyFont="1" applyFill="1" applyBorder="1" applyAlignment="1">
      <alignment horizontal="right" vertical="center" wrapText="1"/>
    </xf>
    <xf numFmtId="168" fontId="24" fillId="3" borderId="3" xfId="0" applyNumberFormat="1" applyFont="1" applyFill="1" applyBorder="1" applyAlignment="1">
      <alignment horizontal="right" vertical="center" wrapText="1"/>
    </xf>
    <xf numFmtId="168" fontId="36" fillId="3" borderId="0" xfId="0" applyNumberFormat="1" applyFont="1" applyFill="1" applyBorder="1" applyAlignment="1">
      <alignment horizontal="right" vertical="center" wrapText="1"/>
    </xf>
    <xf numFmtId="168" fontId="24" fillId="18" borderId="10" xfId="0" applyNumberFormat="1" applyFont="1" applyFill="1" applyBorder="1" applyAlignment="1">
      <alignment horizontal="right" vertical="center" wrapText="1"/>
    </xf>
    <xf numFmtId="2" fontId="24" fillId="3" borderId="5" xfId="0" applyNumberFormat="1" applyFont="1" applyFill="1" applyBorder="1" applyAlignment="1">
      <alignment horizontal="right" vertical="center" wrapText="1"/>
    </xf>
    <xf numFmtId="2" fontId="24" fillId="3" borderId="18" xfId="0" applyNumberFormat="1" applyFont="1" applyFill="1" applyBorder="1" applyAlignment="1">
      <alignment horizontal="right" vertical="center" wrapText="1"/>
    </xf>
    <xf numFmtId="2" fontId="24" fillId="18" borderId="19" xfId="0" applyNumberFormat="1" applyFont="1" applyFill="1" applyBorder="1" applyAlignment="1">
      <alignment horizontal="right" vertical="center" wrapText="1"/>
    </xf>
    <xf numFmtId="4" fontId="36" fillId="3" borderId="18" xfId="0" applyNumberFormat="1" applyFont="1" applyFill="1" applyBorder="1" applyAlignment="1">
      <alignment horizontal="right" vertical="center" wrapText="1"/>
    </xf>
    <xf numFmtId="0" fontId="22" fillId="3" borderId="4" xfId="0" applyFont="1" applyFill="1" applyBorder="1" applyAlignment="1">
      <alignment horizontal="left" vertical="center"/>
    </xf>
    <xf numFmtId="3" fontId="45" fillId="3" borderId="4" xfId="0" applyNumberFormat="1" applyFont="1" applyFill="1" applyBorder="1" applyAlignment="1">
      <alignment horizontal="right" vertical="center" wrapText="1"/>
    </xf>
    <xf numFmtId="3" fontId="45" fillId="3" borderId="11" xfId="0" applyNumberFormat="1" applyFont="1" applyFill="1" applyBorder="1" applyAlignment="1">
      <alignment horizontal="right" vertical="center" wrapText="1"/>
    </xf>
    <xf numFmtId="3" fontId="50" fillId="3" borderId="3" xfId="6" applyNumberFormat="1" applyFont="1" applyFill="1" applyBorder="1" applyAlignment="1">
      <alignment horizontal="right" vertical="center" wrapText="1"/>
    </xf>
    <xf numFmtId="3" fontId="24" fillId="3" borderId="3" xfId="6" applyNumberFormat="1" applyFont="1" applyFill="1" applyBorder="1" applyAlignment="1">
      <alignment horizontal="right" vertical="center" wrapText="1"/>
    </xf>
    <xf numFmtId="0" fontId="22" fillId="3" borderId="35" xfId="0" applyFont="1" applyFill="1" applyBorder="1" applyAlignment="1">
      <alignment horizontal="left" vertical="center" wrapText="1"/>
    </xf>
    <xf numFmtId="3" fontId="13" fillId="3" borderId="35" xfId="0" applyNumberFormat="1" applyFont="1" applyFill="1" applyBorder="1" applyAlignment="1">
      <alignment vertical="center"/>
    </xf>
    <xf numFmtId="3" fontId="13" fillId="3" borderId="33" xfId="0" applyNumberFormat="1" applyFont="1" applyFill="1" applyBorder="1" applyAlignment="1">
      <alignment vertical="center"/>
    </xf>
    <xf numFmtId="3" fontId="13" fillId="18" borderId="33" xfId="0" applyNumberFormat="1" applyFont="1" applyFill="1" applyBorder="1" applyAlignment="1">
      <alignment vertical="center"/>
    </xf>
    <xf numFmtId="3" fontId="13" fillId="3" borderId="32" xfId="0" applyNumberFormat="1" applyFont="1" applyFill="1" applyBorder="1" applyAlignment="1">
      <alignment vertical="center"/>
    </xf>
    <xf numFmtId="3" fontId="13" fillId="18" borderId="34" xfId="0" applyNumberFormat="1" applyFont="1" applyFill="1" applyBorder="1" applyAlignment="1">
      <alignment vertical="center"/>
    </xf>
    <xf numFmtId="0" fontId="21" fillId="2" borderId="4" xfId="0" applyFont="1" applyFill="1" applyBorder="1" applyAlignment="1">
      <alignment horizontal="left" vertical="center" wrapText="1"/>
    </xf>
    <xf numFmtId="3" fontId="21" fillId="20" borderId="4" xfId="0" applyNumberFormat="1" applyFont="1" applyFill="1" applyBorder="1" applyAlignment="1">
      <alignment horizontal="right" vertical="center" wrapText="1"/>
    </xf>
    <xf numFmtId="3" fontId="21" fillId="20" borderId="11" xfId="0" applyNumberFormat="1" applyFont="1" applyFill="1" applyBorder="1" applyAlignment="1">
      <alignment horizontal="right" vertical="center" wrapText="1"/>
    </xf>
    <xf numFmtId="3" fontId="21" fillId="19" borderId="12" xfId="0" applyNumberFormat="1" applyFont="1" applyFill="1" applyBorder="1" applyAlignment="1">
      <alignment horizontal="right" vertical="center" wrapText="1"/>
    </xf>
    <xf numFmtId="166" fontId="52" fillId="2" borderId="4" xfId="0" applyNumberFormat="1" applyFont="1" applyFill="1" applyBorder="1" applyAlignment="1">
      <alignment horizontal="right" vertical="center" wrapText="1"/>
    </xf>
    <xf numFmtId="166" fontId="52" fillId="2" borderId="11" xfId="0" applyNumberFormat="1" applyFont="1" applyFill="1" applyBorder="1" applyAlignment="1">
      <alignment horizontal="right" vertical="center" wrapText="1"/>
    </xf>
    <xf numFmtId="166" fontId="21" fillId="2" borderId="0" xfId="0" applyNumberFormat="1" applyFont="1" applyFill="1" applyBorder="1" applyAlignment="1">
      <alignment horizontal="right" vertical="center" wrapText="1"/>
    </xf>
    <xf numFmtId="3" fontId="45" fillId="17" borderId="3" xfId="0" applyNumberFormat="1" applyFont="1" applyFill="1" applyBorder="1" applyAlignment="1">
      <alignment horizontal="right" vertical="center" wrapText="1"/>
    </xf>
    <xf numFmtId="3" fontId="45" fillId="17" borderId="0" xfId="0" applyNumberFormat="1" applyFont="1" applyFill="1" applyBorder="1" applyAlignment="1">
      <alignment horizontal="right" vertical="center" wrapText="1"/>
    </xf>
    <xf numFmtId="3" fontId="24" fillId="17" borderId="5" xfId="0" applyNumberFormat="1" applyFont="1" applyFill="1" applyBorder="1" applyAlignment="1">
      <alignment horizontal="right" vertical="center" wrapText="1"/>
    </xf>
    <xf numFmtId="3" fontId="24" fillId="17" borderId="18" xfId="0" applyNumberFormat="1" applyFont="1" applyFill="1" applyBorder="1" applyAlignment="1">
      <alignment horizontal="right" vertical="center" wrapText="1"/>
    </xf>
    <xf numFmtId="0" fontId="48" fillId="3" borderId="6" xfId="0" applyFont="1" applyFill="1" applyBorder="1" applyAlignment="1">
      <alignment horizontal="left" vertical="center" wrapText="1"/>
    </xf>
    <xf numFmtId="3" fontId="24" fillId="17" borderId="6" xfId="0" applyNumberFormat="1" applyFont="1" applyFill="1" applyBorder="1" applyAlignment="1">
      <alignment horizontal="right" vertical="center" wrapText="1"/>
    </xf>
    <xf numFmtId="3" fontId="24" fillId="17" borderId="7" xfId="0" applyNumberFormat="1" applyFont="1" applyFill="1" applyBorder="1" applyAlignment="1">
      <alignment horizontal="right" vertical="center" wrapText="1"/>
    </xf>
    <xf numFmtId="3" fontId="24" fillId="18" borderId="8" xfId="0" applyNumberFormat="1" applyFont="1" applyFill="1" applyBorder="1" applyAlignment="1">
      <alignment horizontal="right" vertical="center" wrapText="1"/>
    </xf>
    <xf numFmtId="166" fontId="24" fillId="3" borderId="6" xfId="0" applyNumberFormat="1" applyFont="1" applyFill="1" applyBorder="1" applyAlignment="1">
      <alignment horizontal="right" vertical="center" wrapText="1"/>
    </xf>
    <xf numFmtId="166" fontId="24" fillId="3" borderId="7" xfId="0" applyNumberFormat="1" applyFont="1" applyFill="1" applyBorder="1" applyAlignment="1">
      <alignment horizontal="right" vertical="center" wrapText="1"/>
    </xf>
    <xf numFmtId="169" fontId="24" fillId="18" borderId="8" xfId="0" applyNumberFormat="1" applyFont="1" applyFill="1" applyBorder="1" applyAlignment="1">
      <alignment horizontal="right" vertical="center" wrapText="1"/>
    </xf>
    <xf numFmtId="0" fontId="24" fillId="3" borderId="7" xfId="0" applyFont="1" applyFill="1" applyBorder="1" applyAlignment="1">
      <alignment horizontal="right" vertical="center" wrapText="1"/>
    </xf>
    <xf numFmtId="0" fontId="22" fillId="3" borderId="4" xfId="0" applyFont="1" applyFill="1" applyBorder="1" applyAlignment="1">
      <alignment horizontal="left" vertical="center" wrapText="1"/>
    </xf>
    <xf numFmtId="3" fontId="45" fillId="17" borderId="4" xfId="0" applyNumberFormat="1" applyFont="1" applyFill="1" applyBorder="1" applyAlignment="1">
      <alignment horizontal="right" vertical="center" wrapText="1"/>
    </xf>
    <xf numFmtId="3" fontId="45" fillId="17" borderId="11" xfId="0" applyNumberFormat="1" applyFont="1" applyFill="1" applyBorder="1" applyAlignment="1">
      <alignment horizontal="right" vertical="center" wrapText="1"/>
    </xf>
    <xf numFmtId="3" fontId="45" fillId="18" borderId="12" xfId="0" applyNumberFormat="1" applyFont="1" applyFill="1" applyBorder="1" applyAlignment="1">
      <alignment horizontal="right" vertical="center" wrapText="1"/>
    </xf>
    <xf numFmtId="0" fontId="48" fillId="3" borderId="5" xfId="0" applyFont="1" applyFill="1" applyBorder="1" applyAlignment="1">
      <alignment horizontal="left" vertical="center" wrapText="1" indent="1"/>
    </xf>
    <xf numFmtId="3" fontId="24" fillId="18" borderId="19" xfId="0" applyNumberFormat="1" applyFont="1" applyFill="1" applyBorder="1" applyAlignment="1">
      <alignment horizontal="right" vertical="center" wrapText="1"/>
    </xf>
    <xf numFmtId="3" fontId="24" fillId="3" borderId="5" xfId="0" applyNumberFormat="1" applyFont="1" applyFill="1" applyBorder="1" applyAlignment="1">
      <alignment horizontal="right" vertical="center" wrapText="1"/>
    </xf>
    <xf numFmtId="3" fontId="24" fillId="3" borderId="18" xfId="0" applyNumberFormat="1" applyFont="1" applyFill="1" applyBorder="1" applyAlignment="1">
      <alignment horizontal="right" vertical="center" wrapText="1"/>
    </xf>
    <xf numFmtId="3" fontId="36" fillId="3" borderId="18" xfId="0" applyNumberFormat="1" applyFont="1" applyFill="1" applyBorder="1" applyAlignment="1">
      <alignment horizontal="right" vertical="center" wrapText="1"/>
    </xf>
    <xf numFmtId="0" fontId="11" fillId="3" borderId="0" xfId="0" applyFont="1" applyFill="1" applyAlignment="1">
      <alignment vertical="center"/>
    </xf>
    <xf numFmtId="0" fontId="11" fillId="3" borderId="0" xfId="0" applyFont="1" applyFill="1" applyBorder="1" applyAlignment="1">
      <alignment vertical="center"/>
    </xf>
    <xf numFmtId="0" fontId="11" fillId="3" borderId="0" xfId="0" applyFont="1" applyFill="1" applyBorder="1" applyAlignment="1">
      <alignment vertical="top"/>
    </xf>
    <xf numFmtId="0" fontId="11" fillId="3" borderId="0" xfId="0" applyFont="1" applyFill="1" applyAlignment="1">
      <alignment vertical="top"/>
    </xf>
    <xf numFmtId="0" fontId="20" fillId="3" borderId="23" xfId="0" applyFont="1" applyFill="1" applyBorder="1" applyAlignment="1">
      <alignment vertical="center" wrapText="1"/>
    </xf>
    <xf numFmtId="166" fontId="28" fillId="6" borderId="11" xfId="0" applyNumberFormat="1" applyFont="1" applyFill="1" applyBorder="1" applyAlignment="1">
      <alignment vertical="center" wrapText="1"/>
    </xf>
    <xf numFmtId="0" fontId="26" fillId="3" borderId="6" xfId="0" applyFont="1" applyFill="1" applyBorder="1" applyAlignment="1">
      <alignment vertical="center"/>
    </xf>
    <xf numFmtId="0" fontId="15" fillId="3" borderId="3" xfId="0" applyFont="1" applyFill="1" applyBorder="1" applyAlignment="1">
      <alignment vertical="center"/>
    </xf>
    <xf numFmtId="0" fontId="15" fillId="3" borderId="3" xfId="0" applyFont="1" applyFill="1" applyBorder="1" applyAlignment="1">
      <alignment vertical="center" wrapText="1"/>
    </xf>
    <xf numFmtId="0" fontId="27" fillId="3" borderId="15" xfId="0" applyFont="1" applyFill="1" applyBorder="1" applyAlignment="1">
      <alignment vertical="center"/>
    </xf>
    <xf numFmtId="0" fontId="27" fillId="15" borderId="28" xfId="0" applyFont="1" applyFill="1" applyBorder="1" applyAlignment="1">
      <alignment horizontal="center" vertical="center" wrapText="1"/>
    </xf>
    <xf numFmtId="180" fontId="15" fillId="14" borderId="10" xfId="0" applyNumberFormat="1" applyFont="1" applyFill="1" applyBorder="1" applyAlignment="1">
      <alignment vertical="center"/>
    </xf>
    <xf numFmtId="180" fontId="40" fillId="14" borderId="10" xfId="0" applyNumberFormat="1" applyFont="1" applyFill="1" applyBorder="1" applyAlignment="1">
      <alignment vertical="center"/>
    </xf>
    <xf numFmtId="180" fontId="27" fillId="12" borderId="8" xfId="0" applyNumberFormat="1" applyFont="1" applyFill="1" applyBorder="1" applyAlignment="1">
      <alignment vertical="center"/>
    </xf>
    <xf numFmtId="180" fontId="27" fillId="4" borderId="28" xfId="0" applyNumberFormat="1" applyFont="1" applyFill="1" applyBorder="1" applyAlignment="1">
      <alignment vertical="center"/>
    </xf>
    <xf numFmtId="180" fontId="15" fillId="14" borderId="12" xfId="0" applyNumberFormat="1" applyFont="1" applyFill="1" applyBorder="1" applyAlignment="1">
      <alignment vertical="center"/>
    </xf>
    <xf numFmtId="181" fontId="27" fillId="12" borderId="8" xfId="0" applyNumberFormat="1" applyFont="1" applyFill="1" applyBorder="1" applyAlignment="1">
      <alignment vertical="center"/>
    </xf>
    <xf numFmtId="181" fontId="15" fillId="14" borderId="10" xfId="0" applyNumberFormat="1" applyFont="1" applyFill="1" applyBorder="1" applyAlignment="1">
      <alignment vertical="center"/>
    </xf>
    <xf numFmtId="181" fontId="29" fillId="14" borderId="10" xfId="0" applyNumberFormat="1" applyFont="1" applyFill="1" applyBorder="1" applyAlignment="1">
      <alignment horizontal="right" vertical="center"/>
    </xf>
    <xf numFmtId="181" fontId="27" fillId="4" borderId="28" xfId="0" applyNumberFormat="1" applyFont="1" applyFill="1" applyBorder="1" applyAlignment="1">
      <alignment vertical="center"/>
    </xf>
    <xf numFmtId="181" fontId="27" fillId="3" borderId="6" xfId="0" applyNumberFormat="1" applyFont="1" applyFill="1" applyBorder="1" applyAlignment="1">
      <alignment vertical="center"/>
    </xf>
    <xf numFmtId="181" fontId="27" fillId="3" borderId="7" xfId="0" applyNumberFormat="1" applyFont="1" applyFill="1" applyBorder="1" applyAlignment="1">
      <alignment vertical="center"/>
    </xf>
    <xf numFmtId="181" fontId="27" fillId="2" borderId="8" xfId="0" applyNumberFormat="1" applyFont="1" applyFill="1" applyBorder="1" applyAlignment="1">
      <alignment vertical="center"/>
    </xf>
    <xf numFmtId="181" fontId="15" fillId="3" borderId="3" xfId="0" applyNumberFormat="1" applyFont="1" applyFill="1" applyBorder="1" applyAlignment="1">
      <alignment vertical="center"/>
    </xf>
    <xf numFmtId="181" fontId="15" fillId="3" borderId="0" xfId="0" applyNumberFormat="1" applyFont="1" applyFill="1" applyBorder="1" applyAlignment="1">
      <alignment vertical="center"/>
    </xf>
    <xf numFmtId="181" fontId="15" fillId="2" borderId="10" xfId="0" applyNumberFormat="1" applyFont="1" applyFill="1" applyBorder="1" applyAlignment="1">
      <alignment vertical="center"/>
    </xf>
    <xf numFmtId="181" fontId="27" fillId="12" borderId="6" xfId="0" applyNumberFormat="1" applyFont="1" applyFill="1" applyBorder="1" applyAlignment="1">
      <alignment vertical="center"/>
    </xf>
    <xf numFmtId="181" fontId="27" fillId="12" borderId="7" xfId="0" applyNumberFormat="1" applyFont="1" applyFill="1" applyBorder="1" applyAlignment="1">
      <alignment vertical="center"/>
    </xf>
    <xf numFmtId="181" fontId="27" fillId="7" borderId="8" xfId="0" applyNumberFormat="1" applyFont="1" applyFill="1" applyBorder="1" applyAlignment="1">
      <alignment vertical="center"/>
    </xf>
    <xf numFmtId="181" fontId="27" fillId="3" borderId="15" xfId="0" applyNumberFormat="1" applyFont="1" applyFill="1" applyBorder="1" applyAlignment="1">
      <alignment vertical="center"/>
    </xf>
    <xf numFmtId="181" fontId="27" fillId="3" borderId="2" xfId="0" applyNumberFormat="1" applyFont="1" applyFill="1" applyBorder="1" applyAlignment="1">
      <alignment vertical="center"/>
    </xf>
    <xf numFmtId="181" fontId="27" fillId="2" borderId="16" xfId="0" applyNumberFormat="1" applyFont="1" applyFill="1" applyBorder="1" applyAlignment="1">
      <alignment vertical="center"/>
    </xf>
    <xf numFmtId="181" fontId="27" fillId="2" borderId="7" xfId="0" applyNumberFormat="1" applyFont="1" applyFill="1" applyBorder="1" applyAlignment="1">
      <alignment vertical="center"/>
    </xf>
    <xf numFmtId="181" fontId="15" fillId="3" borderId="0" xfId="0" applyNumberFormat="1" applyFont="1" applyFill="1" applyAlignment="1">
      <alignment vertical="center"/>
    </xf>
    <xf numFmtId="181" fontId="15" fillId="2" borderId="0" xfId="0" applyNumberFormat="1" applyFont="1" applyFill="1" applyAlignment="1">
      <alignment vertical="center"/>
    </xf>
    <xf numFmtId="181" fontId="27" fillId="7" borderId="7" xfId="0" applyNumberFormat="1" applyFont="1" applyFill="1" applyBorder="1" applyAlignment="1">
      <alignment vertical="center"/>
    </xf>
    <xf numFmtId="181" fontId="27" fillId="2" borderId="2" xfId="0" applyNumberFormat="1" applyFont="1" applyFill="1" applyBorder="1" applyAlignment="1">
      <alignment vertical="center"/>
    </xf>
    <xf numFmtId="181" fontId="15" fillId="2" borderId="0" xfId="0" applyNumberFormat="1" applyFont="1" applyFill="1" applyBorder="1" applyAlignment="1">
      <alignment vertical="center"/>
    </xf>
    <xf numFmtId="182" fontId="15" fillId="3" borderId="0" xfId="0" applyNumberFormat="1" applyFont="1" applyFill="1" applyBorder="1" applyAlignment="1">
      <alignment vertical="center"/>
    </xf>
    <xf numFmtId="182" fontId="15" fillId="3" borderId="10" xfId="0" applyNumberFormat="1" applyFont="1" applyFill="1" applyBorder="1" applyAlignment="1">
      <alignment vertical="center"/>
    </xf>
    <xf numFmtId="182" fontId="15" fillId="3" borderId="3" xfId="0" applyNumberFormat="1" applyFont="1" applyFill="1" applyBorder="1" applyAlignment="1">
      <alignment vertical="center"/>
    </xf>
    <xf numFmtId="182" fontId="15" fillId="3" borderId="0" xfId="0" applyNumberFormat="1" applyFont="1" applyFill="1" applyAlignment="1">
      <alignment vertical="center"/>
    </xf>
    <xf numFmtId="182" fontId="15" fillId="3" borderId="18" xfId="0" applyNumberFormat="1" applyFont="1" applyFill="1" applyBorder="1" applyAlignment="1">
      <alignment vertical="center"/>
    </xf>
    <xf numFmtId="181" fontId="15" fillId="0" borderId="0" xfId="0" applyNumberFormat="1" applyFont="1" applyFill="1" applyBorder="1" applyAlignment="1">
      <alignment vertical="center"/>
    </xf>
    <xf numFmtId="181" fontId="33" fillId="3" borderId="10" xfId="0" applyNumberFormat="1" applyFont="1" applyFill="1" applyBorder="1" applyAlignment="1">
      <alignment horizontal="right" vertical="center"/>
    </xf>
    <xf numFmtId="181" fontId="33" fillId="3" borderId="19" xfId="0" applyNumberFormat="1" applyFont="1" applyFill="1" applyBorder="1" applyAlignment="1">
      <alignment vertical="center"/>
    </xf>
    <xf numFmtId="181" fontId="33" fillId="3" borderId="10" xfId="0" applyNumberFormat="1" applyFont="1" applyFill="1" applyBorder="1" applyAlignment="1">
      <alignment horizontal="right" vertical="center" wrapText="1"/>
    </xf>
    <xf numFmtId="181" fontId="34" fillId="3" borderId="10" xfId="0" applyNumberFormat="1" applyFont="1" applyFill="1" applyBorder="1" applyAlignment="1">
      <alignment horizontal="right" vertical="center" wrapText="1"/>
    </xf>
    <xf numFmtId="181" fontId="33" fillId="3" borderId="12" xfId="0" applyNumberFormat="1" applyFont="1" applyFill="1" applyBorder="1" applyAlignment="1">
      <alignment horizontal="right" vertical="center" wrapText="1"/>
    </xf>
    <xf numFmtId="181" fontId="33" fillId="3" borderId="28" xfId="0" applyNumberFormat="1" applyFont="1" applyFill="1" applyBorder="1" applyAlignment="1">
      <alignment horizontal="right" vertical="center" wrapText="1"/>
    </xf>
    <xf numFmtId="180" fontId="15" fillId="3" borderId="0" xfId="0" applyNumberFormat="1" applyFont="1" applyFill="1" applyBorder="1" applyAlignment="1">
      <alignment vertical="center"/>
    </xf>
    <xf numFmtId="180" fontId="38" fillId="3" borderId="0" xfId="1" applyNumberFormat="1" applyFont="1" applyFill="1" applyBorder="1" applyAlignment="1">
      <alignment horizontal="right" vertical="center"/>
    </xf>
    <xf numFmtId="180" fontId="40" fillId="3" borderId="0" xfId="0" applyNumberFormat="1" applyFont="1" applyFill="1" applyBorder="1" applyAlignment="1">
      <alignment vertical="center"/>
    </xf>
    <xf numFmtId="180" fontId="15" fillId="3" borderId="18" xfId="0" applyNumberFormat="1" applyFont="1" applyFill="1" applyBorder="1" applyAlignment="1">
      <alignment vertical="center"/>
    </xf>
    <xf numFmtId="180" fontId="27" fillId="12" borderId="7" xfId="0" applyNumberFormat="1" applyFont="1" applyFill="1" applyBorder="1" applyAlignment="1">
      <alignment vertical="center"/>
    </xf>
    <xf numFmtId="180" fontId="15" fillId="3" borderId="11" xfId="0" applyNumberFormat="1" applyFont="1" applyFill="1" applyBorder="1" applyAlignment="1">
      <alignment vertical="center"/>
    </xf>
    <xf numFmtId="180" fontId="27" fillId="4" borderId="27" xfId="0" applyNumberFormat="1" applyFont="1" applyFill="1" applyBorder="1" applyAlignment="1">
      <alignment vertical="center"/>
    </xf>
    <xf numFmtId="180" fontId="15" fillId="3" borderId="7" xfId="0" applyNumberFormat="1" applyFont="1" applyFill="1" applyBorder="1"/>
    <xf numFmtId="180" fontId="38" fillId="3" borderId="0" xfId="0" applyNumberFormat="1" applyFont="1" applyFill="1" applyBorder="1" applyAlignment="1">
      <alignment horizontal="right" vertical="center"/>
    </xf>
    <xf numFmtId="180" fontId="15" fillId="3" borderId="0" xfId="0" applyNumberFormat="1" applyFont="1" applyFill="1" applyBorder="1" applyAlignment="1">
      <alignment horizontal="right" vertical="center"/>
    </xf>
    <xf numFmtId="180" fontId="41" fillId="3" borderId="0" xfId="0" applyNumberFormat="1" applyFont="1" applyFill="1" applyBorder="1" applyAlignment="1">
      <alignment horizontal="right" vertical="center"/>
    </xf>
    <xf numFmtId="180" fontId="29" fillId="3" borderId="0" xfId="0" applyNumberFormat="1" applyFont="1" applyFill="1" applyBorder="1" applyAlignment="1">
      <alignment horizontal="right" vertical="center"/>
    </xf>
    <xf numFmtId="0" fontId="54" fillId="3" borderId="0" xfId="0" applyFont="1" applyFill="1"/>
    <xf numFmtId="0" fontId="30" fillId="4" borderId="2" xfId="0" applyFont="1" applyFill="1" applyBorder="1" applyAlignment="1">
      <alignment horizontal="right" vertical="center"/>
    </xf>
    <xf numFmtId="170" fontId="30" fillId="6" borderId="7" xfId="0" applyNumberFormat="1" applyFont="1" applyFill="1" applyBorder="1" applyAlignment="1">
      <alignment vertical="center"/>
    </xf>
    <xf numFmtId="170" fontId="54" fillId="3" borderId="0" xfId="0" applyNumberFormat="1" applyFont="1" applyFill="1" applyBorder="1" applyAlignment="1">
      <alignment horizontal="right" vertical="center"/>
    </xf>
    <xf numFmtId="176" fontId="30" fillId="6" borderId="7" xfId="0" applyNumberFormat="1" applyFont="1" applyFill="1" applyBorder="1" applyAlignment="1">
      <alignment vertical="center"/>
    </xf>
    <xf numFmtId="176" fontId="54" fillId="3" borderId="0" xfId="0" applyNumberFormat="1" applyFont="1" applyFill="1" applyBorder="1" applyAlignment="1">
      <alignment horizontal="right" vertical="center"/>
    </xf>
    <xf numFmtId="178" fontId="30" fillId="3" borderId="0" xfId="0" applyNumberFormat="1" applyFont="1" applyFill="1" applyBorder="1" applyAlignment="1">
      <alignment vertical="center"/>
    </xf>
    <xf numFmtId="0" fontId="54" fillId="3" borderId="0" xfId="0" applyFont="1" applyFill="1" applyAlignment="1">
      <alignment vertical="center"/>
    </xf>
    <xf numFmtId="0" fontId="54" fillId="0" borderId="0" xfId="0" applyFont="1" applyAlignment="1">
      <alignment vertical="center"/>
    </xf>
    <xf numFmtId="172" fontId="15" fillId="14" borderId="10" xfId="0" applyNumberFormat="1" applyFont="1" applyFill="1" applyBorder="1" applyAlignment="1">
      <alignment horizontal="right" vertical="center"/>
    </xf>
    <xf numFmtId="172" fontId="15" fillId="14" borderId="0" xfId="0" applyNumberFormat="1" applyFont="1" applyFill="1" applyBorder="1" applyAlignment="1">
      <alignment horizontal="right" vertical="center"/>
    </xf>
    <xf numFmtId="172" fontId="15" fillId="3" borderId="3" xfId="0" applyNumberFormat="1" applyFont="1" applyFill="1" applyBorder="1" applyAlignment="1">
      <alignment horizontal="right" vertical="center"/>
    </xf>
    <xf numFmtId="172" fontId="27" fillId="12" borderId="6" xfId="0" applyNumberFormat="1" applyFont="1" applyFill="1" applyBorder="1" applyAlignment="1">
      <alignment vertical="center"/>
    </xf>
    <xf numFmtId="172" fontId="27" fillId="13" borderId="27" xfId="0" applyNumberFormat="1" applyFont="1" applyFill="1" applyBorder="1" applyAlignment="1">
      <alignment vertical="center"/>
    </xf>
    <xf numFmtId="172" fontId="27" fillId="4" borderId="26" xfId="0" applyNumberFormat="1" applyFont="1" applyFill="1" applyBorder="1" applyAlignment="1">
      <alignment vertical="center"/>
    </xf>
    <xf numFmtId="166" fontId="15" fillId="3" borderId="0" xfId="0" applyNumberFormat="1" applyFont="1" applyFill="1" applyBorder="1" applyAlignment="1">
      <alignment horizontal="right" vertical="center"/>
    </xf>
    <xf numFmtId="166" fontId="15" fillId="14" borderId="10" xfId="0" applyNumberFormat="1" applyFont="1" applyFill="1" applyBorder="1" applyAlignment="1">
      <alignment horizontal="right" vertical="center"/>
    </xf>
    <xf numFmtId="166" fontId="15" fillId="14" borderId="0" xfId="0" applyNumberFormat="1" applyFont="1" applyFill="1" applyBorder="1" applyAlignment="1">
      <alignment horizontal="right" vertical="center"/>
    </xf>
    <xf numFmtId="166" fontId="15" fillId="3" borderId="3" xfId="0" applyNumberFormat="1" applyFont="1" applyFill="1" applyBorder="1" applyAlignment="1">
      <alignment horizontal="right" vertical="center"/>
    </xf>
    <xf numFmtId="166" fontId="15" fillId="3" borderId="11" xfId="0" applyNumberFormat="1" applyFont="1" applyFill="1" applyBorder="1" applyAlignment="1">
      <alignment horizontal="right" vertical="center"/>
    </xf>
    <xf numFmtId="166" fontId="15" fillId="14" borderId="12" xfId="0" applyNumberFormat="1" applyFont="1" applyFill="1" applyBorder="1" applyAlignment="1">
      <alignment horizontal="right" vertical="center"/>
    </xf>
    <xf numFmtId="166" fontId="15" fillId="14" borderId="11" xfId="0" applyNumberFormat="1" applyFont="1" applyFill="1" applyBorder="1" applyAlignment="1">
      <alignment horizontal="right" vertical="center"/>
    </xf>
    <xf numFmtId="166" fontId="15" fillId="3" borderId="4" xfId="0" applyNumberFormat="1" applyFont="1" applyFill="1" applyBorder="1" applyAlignment="1">
      <alignment horizontal="right" vertical="center"/>
    </xf>
    <xf numFmtId="184" fontId="15" fillId="3" borderId="0" xfId="0" applyNumberFormat="1" applyFont="1" applyFill="1" applyBorder="1" applyAlignment="1">
      <alignment horizontal="right" vertical="center"/>
    </xf>
    <xf numFmtId="166" fontId="15" fillId="3" borderId="0" xfId="0" applyNumberFormat="1" applyFont="1" applyFill="1" applyBorder="1" applyAlignment="1">
      <alignment vertical="center"/>
    </xf>
    <xf numFmtId="166" fontId="15" fillId="14" borderId="10" xfId="0" applyNumberFormat="1" applyFont="1" applyFill="1" applyBorder="1" applyAlignment="1">
      <alignment vertical="center"/>
    </xf>
    <xf numFmtId="167" fontId="27" fillId="3" borderId="0" xfId="0" applyNumberFormat="1" applyFont="1" applyFill="1" applyBorder="1" applyAlignment="1">
      <alignment vertical="center"/>
    </xf>
    <xf numFmtId="167" fontId="27" fillId="14" borderId="0" xfId="0" applyNumberFormat="1" applyFont="1" applyFill="1" applyBorder="1" applyAlignment="1">
      <alignment vertical="center"/>
    </xf>
    <xf numFmtId="167" fontId="27" fillId="3" borderId="3" xfId="0" applyNumberFormat="1" applyFont="1" applyFill="1" applyBorder="1" applyAlignment="1">
      <alignment vertical="center"/>
    </xf>
    <xf numFmtId="181" fontId="27" fillId="3" borderId="8" xfId="0" applyNumberFormat="1" applyFont="1" applyFill="1" applyBorder="1" applyAlignment="1">
      <alignment vertical="center"/>
    </xf>
    <xf numFmtId="181" fontId="27" fillId="3" borderId="7" xfId="0" applyNumberFormat="1" applyFont="1" applyFill="1" applyBorder="1" applyAlignment="1">
      <alignment horizontal="right" vertical="center"/>
    </xf>
    <xf numFmtId="181" fontId="15" fillId="3" borderId="10" xfId="0" applyNumberFormat="1" applyFont="1" applyFill="1" applyBorder="1" applyAlignment="1">
      <alignment vertical="center"/>
    </xf>
    <xf numFmtId="181" fontId="27" fillId="3" borderId="16" xfId="0" applyNumberFormat="1" applyFont="1" applyFill="1" applyBorder="1" applyAlignment="1">
      <alignment vertical="center"/>
    </xf>
    <xf numFmtId="168" fontId="24" fillId="2" borderId="0" xfId="6" applyNumberFormat="1" applyFont="1" applyFill="1" applyBorder="1" applyAlignment="1">
      <alignment horizontal="right" vertical="center" wrapText="1"/>
    </xf>
    <xf numFmtId="3" fontId="50" fillId="3" borderId="0" xfId="6" applyNumberFormat="1" applyFont="1" applyFill="1" applyBorder="1" applyAlignment="1">
      <alignment horizontal="right" vertical="center" wrapText="1"/>
    </xf>
    <xf numFmtId="3" fontId="24" fillId="3" borderId="0" xfId="6" applyNumberFormat="1" applyFont="1" applyFill="1" applyBorder="1" applyAlignment="1">
      <alignment horizontal="right" vertical="center" wrapText="1"/>
    </xf>
    <xf numFmtId="0" fontId="44" fillId="11" borderId="7" xfId="0" applyFont="1" applyFill="1" applyBorder="1" applyAlignment="1">
      <alignment horizontal="center" vertical="center"/>
    </xf>
    <xf numFmtId="181" fontId="15" fillId="3" borderId="0" xfId="0" applyNumberFormat="1" applyFont="1" applyFill="1" applyBorder="1" applyAlignment="1">
      <alignment horizontal="right" vertical="center"/>
    </xf>
    <xf numFmtId="185" fontId="15" fillId="14" borderId="10" xfId="0" applyNumberFormat="1" applyFont="1" applyFill="1" applyBorder="1" applyAlignment="1">
      <alignment horizontal="right" vertical="center"/>
    </xf>
    <xf numFmtId="181" fontId="29" fillId="3" borderId="3" xfId="0" applyNumberFormat="1" applyFont="1" applyFill="1" applyBorder="1" applyAlignment="1">
      <alignment horizontal="right" vertical="center"/>
    </xf>
    <xf numFmtId="181" fontId="29" fillId="3" borderId="0" xfId="0" applyNumberFormat="1" applyFont="1" applyFill="1" applyBorder="1" applyAlignment="1">
      <alignment horizontal="right" vertical="center"/>
    </xf>
    <xf numFmtId="181" fontId="54" fillId="3" borderId="0" xfId="0" applyNumberFormat="1" applyFont="1" applyFill="1" applyBorder="1" applyAlignment="1">
      <alignment horizontal="right" vertical="center"/>
    </xf>
    <xf numFmtId="3" fontId="45" fillId="18" borderId="8" xfId="0" applyNumberFormat="1" applyFont="1" applyFill="1" applyBorder="1" applyAlignment="1">
      <alignment horizontal="right" vertical="center" wrapText="1"/>
    </xf>
    <xf numFmtId="0" fontId="55" fillId="3" borderId="0" xfId="0" applyFont="1" applyFill="1" applyAlignment="1">
      <alignment vertical="center"/>
    </xf>
    <xf numFmtId="0" fontId="15" fillId="3" borderId="0" xfId="0" applyFont="1" applyFill="1" applyBorder="1" applyAlignment="1">
      <alignment horizontal="right" vertical="center"/>
    </xf>
    <xf numFmtId="0" fontId="56" fillId="3" borderId="0" xfId="0" applyFont="1" applyFill="1"/>
    <xf numFmtId="0" fontId="9" fillId="3" borderId="0" xfId="0" applyFont="1" applyFill="1"/>
    <xf numFmtId="0" fontId="57" fillId="3" borderId="5" xfId="0" applyFont="1" applyFill="1" applyBorder="1" applyAlignment="1">
      <alignment vertical="center" wrapText="1"/>
    </xf>
    <xf numFmtId="0" fontId="27" fillId="4" borderId="2" xfId="0" applyFont="1" applyFill="1" applyBorder="1" applyAlignment="1">
      <alignment horizontal="right" vertical="center"/>
    </xf>
    <xf numFmtId="0" fontId="27" fillId="4" borderId="15" xfId="0" applyFont="1" applyFill="1" applyBorder="1" applyAlignment="1">
      <alignment horizontal="right" vertical="center"/>
    </xf>
    <xf numFmtId="0" fontId="27" fillId="8" borderId="16" xfId="0" applyFont="1" applyFill="1" applyBorder="1" applyAlignment="1">
      <alignment horizontal="right" vertical="center"/>
    </xf>
    <xf numFmtId="0" fontId="59" fillId="6" borderId="6" xfId="0" applyFont="1" applyFill="1" applyBorder="1" applyAlignment="1">
      <alignment vertical="center" wrapText="1"/>
    </xf>
    <xf numFmtId="170" fontId="27" fillId="6" borderId="7" xfId="0" applyNumberFormat="1" applyFont="1" applyFill="1" applyBorder="1" applyAlignment="1">
      <alignment vertical="center"/>
    </xf>
    <xf numFmtId="170" fontId="27" fillId="9" borderId="7" xfId="0" applyNumberFormat="1" applyFont="1" applyFill="1" applyBorder="1" applyAlignment="1">
      <alignment horizontal="right" vertical="center"/>
    </xf>
    <xf numFmtId="170" fontId="27" fillId="6" borderId="6" xfId="0" applyNumberFormat="1" applyFont="1" applyFill="1" applyBorder="1" applyAlignment="1">
      <alignment vertical="center"/>
    </xf>
    <xf numFmtId="170" fontId="27" fillId="9" borderId="8" xfId="0" applyNumberFormat="1" applyFont="1" applyFill="1" applyBorder="1" applyAlignment="1">
      <alignment horizontal="right" vertical="center"/>
    </xf>
    <xf numFmtId="0" fontId="15" fillId="0" borderId="3" xfId="0" applyFont="1" applyFill="1" applyBorder="1" applyAlignment="1">
      <alignment horizontal="left" vertical="center" wrapText="1"/>
    </xf>
    <xf numFmtId="170" fontId="15" fillId="0" borderId="0" xfId="0" applyNumberFormat="1" applyFont="1" applyFill="1" applyBorder="1" applyAlignment="1">
      <alignment horizontal="right" vertical="center"/>
    </xf>
    <xf numFmtId="170" fontId="15" fillId="9" borderId="0" xfId="0" applyNumberFormat="1" applyFont="1" applyFill="1" applyBorder="1" applyAlignment="1">
      <alignment horizontal="right" vertical="center"/>
    </xf>
    <xf numFmtId="170" fontId="15" fillId="0" borderId="3" xfId="0" applyNumberFormat="1" applyFont="1" applyFill="1" applyBorder="1" applyAlignment="1">
      <alignment horizontal="right" vertical="center"/>
    </xf>
    <xf numFmtId="170" fontId="15" fillId="9" borderId="10" xfId="0" applyNumberFormat="1" applyFont="1" applyFill="1" applyBorder="1" applyAlignment="1">
      <alignment horizontal="right" vertical="center"/>
    </xf>
    <xf numFmtId="179" fontId="60" fillId="0" borderId="0" xfId="0" applyNumberFormat="1" applyFont="1" applyFill="1" applyAlignment="1">
      <alignment horizontal="right" vertical="center"/>
    </xf>
    <xf numFmtId="170" fontId="15" fillId="3" borderId="0" xfId="0" applyNumberFormat="1" applyFont="1" applyFill="1" applyBorder="1" applyAlignment="1">
      <alignment horizontal="right" vertical="center"/>
    </xf>
    <xf numFmtId="175" fontId="60" fillId="0" borderId="0" xfId="0" applyNumberFormat="1" applyFont="1" applyFill="1" applyAlignment="1">
      <alignment horizontal="right" vertical="center"/>
    </xf>
    <xf numFmtId="176" fontId="27" fillId="6" borderId="7" xfId="0" applyNumberFormat="1" applyFont="1" applyFill="1" applyBorder="1" applyAlignment="1">
      <alignment vertical="center"/>
    </xf>
    <xf numFmtId="176" fontId="27" fillId="7" borderId="7" xfId="0" applyNumberFormat="1" applyFont="1" applyFill="1" applyBorder="1" applyAlignment="1">
      <alignment vertical="center"/>
    </xf>
    <xf numFmtId="176" fontId="27" fillId="6" borderId="6" xfId="0" applyNumberFormat="1" applyFont="1" applyFill="1" applyBorder="1" applyAlignment="1">
      <alignment vertical="center"/>
    </xf>
    <xf numFmtId="176" fontId="27" fillId="7" borderId="8" xfId="0" applyNumberFormat="1" applyFont="1" applyFill="1" applyBorder="1" applyAlignment="1">
      <alignment vertical="center"/>
    </xf>
    <xf numFmtId="0" fontId="27" fillId="0" borderId="0" xfId="0" applyFont="1"/>
    <xf numFmtId="176" fontId="15" fillId="0" borderId="0" xfId="0" applyNumberFormat="1" applyFont="1" applyFill="1" applyBorder="1" applyAlignment="1">
      <alignment horizontal="right" vertical="center"/>
    </xf>
    <xf numFmtId="176" fontId="15" fillId="9" borderId="0" xfId="0" applyNumberFormat="1" applyFont="1" applyFill="1" applyBorder="1" applyAlignment="1">
      <alignment horizontal="right" vertical="center"/>
    </xf>
    <xf numFmtId="176" fontId="15" fillId="0" borderId="3" xfId="0" applyNumberFormat="1" applyFont="1" applyFill="1" applyBorder="1" applyAlignment="1">
      <alignment horizontal="right" vertical="center"/>
    </xf>
    <xf numFmtId="176" fontId="15" fillId="9" borderId="10" xfId="0" applyNumberFormat="1" applyFont="1" applyFill="1" applyBorder="1" applyAlignment="1">
      <alignment horizontal="right" vertical="center"/>
    </xf>
    <xf numFmtId="176" fontId="15" fillId="3" borderId="0" xfId="0" applyNumberFormat="1" applyFont="1" applyFill="1" applyBorder="1" applyAlignment="1">
      <alignment horizontal="right" vertical="center"/>
    </xf>
    <xf numFmtId="0" fontId="27" fillId="0" borderId="0" xfId="0" applyFont="1" applyFill="1"/>
    <xf numFmtId="170" fontId="27" fillId="7" borderId="7" xfId="0" applyNumberFormat="1" applyFont="1" applyFill="1" applyBorder="1" applyAlignment="1">
      <alignment horizontal="right" vertical="center"/>
    </xf>
    <xf numFmtId="170" fontId="27" fillId="7" borderId="8" xfId="0" applyNumberFormat="1" applyFont="1" applyFill="1" applyBorder="1" applyAlignment="1">
      <alignment horizontal="right" vertical="center"/>
    </xf>
    <xf numFmtId="181" fontId="15" fillId="9" borderId="10" xfId="0" applyNumberFormat="1" applyFont="1" applyFill="1" applyBorder="1" applyAlignment="1">
      <alignment horizontal="right" vertical="center"/>
    </xf>
    <xf numFmtId="175" fontId="38" fillId="0" borderId="0" xfId="0" applyNumberFormat="1" applyFont="1" applyFill="1" applyAlignment="1">
      <alignment horizontal="right" vertical="center"/>
    </xf>
    <xf numFmtId="0" fontId="59" fillId="0" borderId="3" xfId="0" applyFont="1" applyBorder="1" applyAlignment="1">
      <alignment vertical="center"/>
    </xf>
    <xf numFmtId="178" fontId="27" fillId="0" borderId="0" xfId="0" applyNumberFormat="1" applyFont="1" applyFill="1" applyBorder="1" applyAlignment="1">
      <alignment horizontal="right" vertical="center"/>
    </xf>
    <xf numFmtId="178" fontId="27" fillId="9" borderId="0" xfId="0" applyNumberFormat="1" applyFont="1" applyFill="1" applyBorder="1" applyAlignment="1">
      <alignment horizontal="right" vertical="center"/>
    </xf>
    <xf numFmtId="178" fontId="15" fillId="0" borderId="3" xfId="0" applyNumberFormat="1" applyFont="1" applyFill="1" applyBorder="1" applyAlignment="1">
      <alignment horizontal="right" vertical="center"/>
    </xf>
    <xf numFmtId="178" fontId="27" fillId="0" borderId="3" xfId="0" applyNumberFormat="1" applyFont="1" applyFill="1" applyBorder="1" applyAlignment="1">
      <alignment horizontal="right" vertical="center"/>
    </xf>
    <xf numFmtId="178" fontId="27" fillId="9" borderId="10" xfId="0" applyNumberFormat="1" applyFont="1" applyFill="1" applyBorder="1" applyAlignment="1">
      <alignment horizontal="right" vertical="center"/>
    </xf>
    <xf numFmtId="178" fontId="41" fillId="0" borderId="0" xfId="0" applyNumberFormat="1" applyFont="1" applyFill="1" applyAlignment="1">
      <alignment horizontal="right" vertical="center"/>
    </xf>
    <xf numFmtId="178" fontId="27" fillId="3" borderId="0" xfId="0" applyNumberFormat="1" applyFont="1" applyFill="1" applyBorder="1" applyAlignment="1">
      <alignment horizontal="right" vertical="center"/>
    </xf>
    <xf numFmtId="0" fontId="59" fillId="6" borderId="4" xfId="0" applyFont="1" applyFill="1" applyBorder="1" applyAlignment="1">
      <alignment vertical="center" wrapText="1"/>
    </xf>
    <xf numFmtId="0" fontId="59" fillId="6" borderId="11" xfId="0" applyFont="1" applyFill="1" applyBorder="1" applyAlignment="1">
      <alignment vertical="center" wrapText="1"/>
    </xf>
    <xf numFmtId="169" fontId="59" fillId="10" borderId="11" xfId="0" applyNumberFormat="1" applyFont="1" applyFill="1" applyBorder="1" applyAlignment="1">
      <alignment vertical="center" wrapText="1"/>
    </xf>
    <xf numFmtId="169" fontId="59" fillId="10" borderId="12" xfId="0" applyNumberFormat="1" applyFont="1" applyFill="1" applyBorder="1" applyAlignment="1">
      <alignment vertical="center" wrapText="1"/>
    </xf>
    <xf numFmtId="166" fontId="59" fillId="6" borderId="11" xfId="0" applyNumberFormat="1" applyFont="1" applyFill="1" applyBorder="1" applyAlignment="1">
      <alignment vertical="center" wrapText="1"/>
    </xf>
    <xf numFmtId="0" fontId="59" fillId="6" borderId="5" xfId="0" applyFont="1" applyFill="1" applyBorder="1" applyAlignment="1">
      <alignment vertical="center" wrapText="1"/>
    </xf>
    <xf numFmtId="168" fontId="59" fillId="6" borderId="5" xfId="2" applyNumberFormat="1" applyFont="1" applyFill="1" applyBorder="1" applyAlignment="1">
      <alignment vertical="center" wrapText="1"/>
    </xf>
    <xf numFmtId="168" fontId="59" fillId="6" borderId="18" xfId="2" applyNumberFormat="1" applyFont="1" applyFill="1" applyBorder="1" applyAlignment="1">
      <alignment vertical="center" wrapText="1"/>
    </xf>
    <xf numFmtId="168" fontId="59" fillId="10" borderId="19" xfId="2" applyNumberFormat="1" applyFont="1" applyFill="1" applyBorder="1" applyAlignment="1">
      <alignment vertical="center" wrapText="1"/>
    </xf>
    <xf numFmtId="168" fontId="59" fillId="10" borderId="18" xfId="2" applyNumberFormat="1" applyFont="1" applyFill="1" applyBorder="1" applyAlignment="1">
      <alignment vertical="center" wrapText="1"/>
    </xf>
    <xf numFmtId="168" fontId="28" fillId="6" borderId="18" xfId="2" applyNumberFormat="1" applyFont="1" applyFill="1" applyBorder="1" applyAlignment="1">
      <alignment vertical="center" wrapText="1"/>
    </xf>
    <xf numFmtId="0" fontId="15" fillId="0" borderId="0" xfId="0" applyFont="1" applyFill="1"/>
    <xf numFmtId="0" fontId="15" fillId="0" borderId="0" xfId="0" applyFont="1" applyFill="1" applyAlignment="1">
      <alignment vertical="center"/>
    </xf>
    <xf numFmtId="0" fontId="15" fillId="0" borderId="0" xfId="0" applyFont="1" applyFill="1" applyBorder="1" applyAlignment="1">
      <alignment horizontal="right" vertical="center"/>
    </xf>
    <xf numFmtId="0" fontId="15" fillId="0" borderId="0" xfId="0" applyFont="1" applyFill="1" applyBorder="1" applyAlignment="1">
      <alignment vertical="center"/>
    </xf>
    <xf numFmtId="0" fontId="15" fillId="0" borderId="0" xfId="0" applyFont="1" applyBorder="1" applyAlignment="1">
      <alignment horizontal="right" vertical="center"/>
    </xf>
    <xf numFmtId="0" fontId="15" fillId="0" borderId="0" xfId="0" applyFont="1" applyBorder="1" applyAlignment="1">
      <alignment vertical="center"/>
    </xf>
    <xf numFmtId="181" fontId="29" fillId="2" borderId="10" xfId="0" applyNumberFormat="1" applyFont="1" applyFill="1" applyBorder="1" applyAlignment="1">
      <alignment horizontal="right" vertical="center"/>
    </xf>
    <xf numFmtId="176" fontId="27" fillId="7" borderId="7" xfId="0" applyNumberFormat="1" applyFont="1" applyFill="1" applyBorder="1" applyAlignment="1">
      <alignment horizontal="right" vertical="center"/>
    </xf>
    <xf numFmtId="176" fontId="27" fillId="7" borderId="8" xfId="0" applyNumberFormat="1" applyFont="1" applyFill="1" applyBorder="1" applyAlignment="1">
      <alignment horizontal="right" vertical="center"/>
    </xf>
    <xf numFmtId="176" fontId="27" fillId="12" borderId="7" xfId="0" applyNumberFormat="1" applyFont="1" applyFill="1" applyBorder="1" applyAlignment="1">
      <alignment vertical="center"/>
    </xf>
    <xf numFmtId="181" fontId="30" fillId="12" borderId="7" xfId="0" applyNumberFormat="1" applyFont="1" applyFill="1" applyBorder="1" applyAlignment="1">
      <alignment vertical="center"/>
    </xf>
    <xf numFmtId="181" fontId="40" fillId="14" borderId="10" xfId="0" applyNumberFormat="1" applyFont="1" applyFill="1" applyBorder="1" applyAlignment="1">
      <alignment vertical="center"/>
    </xf>
    <xf numFmtId="0" fontId="36" fillId="3" borderId="0" xfId="0" applyFont="1" applyFill="1" applyAlignment="1">
      <alignment horizontal="left"/>
    </xf>
    <xf numFmtId="0" fontId="8" fillId="3" borderId="0" xfId="0" applyFont="1" applyFill="1"/>
    <xf numFmtId="0" fontId="8" fillId="0" borderId="0" xfId="0" applyFont="1"/>
    <xf numFmtId="0" fontId="8" fillId="3" borderId="0" xfId="0" applyFont="1" applyFill="1" applyAlignment="1">
      <alignment vertical="center"/>
    </xf>
    <xf numFmtId="0" fontId="8" fillId="0" borderId="0" xfId="0" applyFont="1" applyAlignment="1">
      <alignment vertical="center"/>
    </xf>
    <xf numFmtId="0" fontId="8" fillId="3" borderId="0" xfId="0" applyFont="1" applyFill="1" applyBorder="1" applyAlignment="1">
      <alignment vertical="center"/>
    </xf>
    <xf numFmtId="181" fontId="8" fillId="3" borderId="0" xfId="0" applyNumberFormat="1" applyFont="1" applyFill="1" applyBorder="1" applyAlignment="1">
      <alignment horizontal="right" vertical="center" wrapText="1"/>
    </xf>
    <xf numFmtId="181" fontId="8" fillId="3" borderId="11" xfId="0" applyNumberFormat="1" applyFont="1" applyFill="1" applyBorder="1" applyAlignment="1">
      <alignment horizontal="right" vertical="center" wrapText="1"/>
    </xf>
    <xf numFmtId="3" fontId="8" fillId="3" borderId="0" xfId="0" applyNumberFormat="1" applyFont="1" applyFill="1" applyBorder="1" applyAlignment="1">
      <alignment horizontal="right" vertical="center" wrapText="1"/>
    </xf>
    <xf numFmtId="0" fontId="8" fillId="3" borderId="23" xfId="0" applyFont="1" applyFill="1" applyBorder="1" applyAlignment="1">
      <alignment vertical="center" wrapText="1"/>
    </xf>
    <xf numFmtId="181" fontId="8" fillId="3" borderId="0" xfId="0" applyNumberFormat="1" applyFont="1" applyFill="1" applyBorder="1" applyAlignment="1">
      <alignment horizontal="right" vertical="center"/>
    </xf>
    <xf numFmtId="41" fontId="8" fillId="3" borderId="0" xfId="0" applyNumberFormat="1" applyFont="1" applyFill="1" applyBorder="1" applyAlignment="1">
      <alignment horizontal="right" vertical="center" wrapText="1"/>
    </xf>
    <xf numFmtId="0" fontId="18" fillId="3" borderId="0" xfId="0" applyFont="1" applyFill="1" applyBorder="1" applyAlignment="1">
      <alignment vertical="center"/>
    </xf>
    <xf numFmtId="0" fontId="18" fillId="0" borderId="0" xfId="0" applyFont="1" applyAlignment="1">
      <alignment vertical="center"/>
    </xf>
    <xf numFmtId="0" fontId="8" fillId="3" borderId="25" xfId="0" applyFont="1" applyFill="1" applyBorder="1" applyAlignment="1">
      <alignment vertical="center" wrapText="1"/>
    </xf>
    <xf numFmtId="181" fontId="8" fillId="3" borderId="27" xfId="0" applyNumberFormat="1" applyFont="1" applyFill="1" applyBorder="1" applyAlignment="1">
      <alignment horizontal="right" vertical="center" wrapText="1"/>
    </xf>
    <xf numFmtId="181" fontId="8" fillId="3" borderId="18" xfId="0" applyNumberFormat="1" applyFont="1" applyFill="1" applyBorder="1" applyAlignment="1">
      <alignment horizontal="right" vertical="center" wrapText="1"/>
    </xf>
    <xf numFmtId="181" fontId="27" fillId="14" borderId="10" xfId="0" applyNumberFormat="1" applyFont="1" applyFill="1" applyBorder="1" applyAlignment="1">
      <alignment vertical="center"/>
    </xf>
    <xf numFmtId="0" fontId="39" fillId="0" borderId="3" xfId="0" applyFont="1" applyFill="1" applyBorder="1" applyAlignment="1">
      <alignment horizontal="left" vertical="center" wrapText="1" indent="2"/>
    </xf>
    <xf numFmtId="173" fontId="40" fillId="0" borderId="0" xfId="0" applyNumberFormat="1" applyFont="1" applyFill="1" applyBorder="1" applyAlignment="1">
      <alignment vertical="center"/>
    </xf>
    <xf numFmtId="0" fontId="15" fillId="0" borderId="3" xfId="0" applyFont="1" applyFill="1" applyBorder="1" applyAlignment="1">
      <alignment vertical="center"/>
    </xf>
    <xf numFmtId="181" fontId="15" fillId="0" borderId="10" xfId="0" applyNumberFormat="1" applyFont="1" applyFill="1" applyBorder="1" applyAlignment="1">
      <alignment vertical="center"/>
    </xf>
    <xf numFmtId="181" fontId="15" fillId="0" borderId="3" xfId="0" applyNumberFormat="1" applyFont="1" applyFill="1" applyBorder="1" applyAlignment="1">
      <alignment vertical="center"/>
    </xf>
    <xf numFmtId="181" fontId="15" fillId="0" borderId="0" xfId="0" applyNumberFormat="1" applyFont="1" applyFill="1" applyAlignment="1">
      <alignment vertical="center"/>
    </xf>
    <xf numFmtId="182" fontId="15" fillId="0" borderId="0" xfId="0" applyNumberFormat="1" applyFont="1" applyFill="1" applyBorder="1" applyAlignment="1">
      <alignment vertical="center"/>
    </xf>
    <xf numFmtId="182" fontId="15" fillId="0" borderId="10" xfId="0" applyNumberFormat="1" applyFont="1" applyFill="1" applyBorder="1" applyAlignment="1">
      <alignment vertical="center"/>
    </xf>
    <xf numFmtId="182" fontId="15" fillId="0" borderId="3" xfId="0" applyNumberFormat="1" applyFont="1" applyFill="1" applyBorder="1" applyAlignment="1">
      <alignment vertical="center"/>
    </xf>
    <xf numFmtId="181" fontId="29" fillId="0" borderId="3" xfId="0" applyNumberFormat="1" applyFont="1" applyFill="1" applyBorder="1" applyAlignment="1">
      <alignment horizontal="right" vertical="center"/>
    </xf>
    <xf numFmtId="181" fontId="29" fillId="0" borderId="0" xfId="0" applyNumberFormat="1" applyFont="1" applyFill="1" applyBorder="1" applyAlignment="1">
      <alignment horizontal="right" vertical="center"/>
    </xf>
    <xf numFmtId="182" fontId="15" fillId="0" borderId="0" xfId="0" applyNumberFormat="1" applyFont="1" applyFill="1" applyAlignment="1">
      <alignment vertical="center"/>
    </xf>
    <xf numFmtId="0" fontId="15" fillId="0" borderId="3" xfId="0" applyFont="1" applyFill="1" applyBorder="1" applyAlignment="1">
      <alignment vertical="center" wrapText="1"/>
    </xf>
    <xf numFmtId="0" fontId="15" fillId="3" borderId="0" xfId="0" applyFont="1" applyFill="1" applyAlignment="1">
      <alignment horizontal="left" vertical="center" wrapText="1"/>
    </xf>
    <xf numFmtId="0" fontId="27" fillId="4" borderId="0" xfId="0" applyFont="1" applyFill="1" applyBorder="1" applyAlignment="1">
      <alignment horizontal="right" vertical="center"/>
    </xf>
    <xf numFmtId="0" fontId="27" fillId="8" borderId="0" xfId="0" applyFont="1" applyFill="1" applyBorder="1" applyAlignment="1">
      <alignment horizontal="right" vertical="center"/>
    </xf>
    <xf numFmtId="0" fontId="27" fillId="4" borderId="3" xfId="0" applyFont="1" applyFill="1" applyBorder="1" applyAlignment="1">
      <alignment horizontal="right" vertical="center"/>
    </xf>
    <xf numFmtId="0" fontId="27" fillId="8" borderId="10" xfId="0" applyFont="1" applyFill="1" applyBorder="1" applyAlignment="1">
      <alignment horizontal="right" vertical="center"/>
    </xf>
    <xf numFmtId="0" fontId="30" fillId="4" borderId="0" xfId="0" applyFont="1" applyFill="1" applyBorder="1" applyAlignment="1">
      <alignment horizontal="right" vertical="center"/>
    </xf>
    <xf numFmtId="166" fontId="59" fillId="6" borderId="4" xfId="0" applyNumberFormat="1" applyFont="1" applyFill="1" applyBorder="1" applyAlignment="1">
      <alignment vertical="center" wrapText="1"/>
    </xf>
    <xf numFmtId="0" fontId="7" fillId="3" borderId="0" xfId="0" applyFont="1" applyFill="1"/>
    <xf numFmtId="181" fontId="54" fillId="3" borderId="3" xfId="0" applyNumberFormat="1" applyFont="1" applyFill="1" applyBorder="1" applyAlignment="1">
      <alignment horizontal="right" vertical="center"/>
    </xf>
    <xf numFmtId="176" fontId="54" fillId="3" borderId="3" xfId="0" applyNumberFormat="1" applyFont="1" applyFill="1" applyBorder="1" applyAlignment="1">
      <alignment horizontal="right" vertical="center"/>
    </xf>
    <xf numFmtId="178" fontId="27" fillId="3" borderId="3" xfId="0" applyNumberFormat="1" applyFont="1" applyFill="1" applyBorder="1" applyAlignment="1">
      <alignment horizontal="right" vertical="center"/>
    </xf>
    <xf numFmtId="0" fontId="30" fillId="4" borderId="27" xfId="0" applyFont="1" applyFill="1" applyBorder="1" applyAlignment="1">
      <alignment horizontal="right" vertical="center"/>
    </xf>
    <xf numFmtId="0" fontId="15" fillId="0" borderId="8" xfId="0" applyFont="1" applyFill="1" applyBorder="1"/>
    <xf numFmtId="180" fontId="15" fillId="0" borderId="7" xfId="0" applyNumberFormat="1" applyFont="1" applyFill="1" applyBorder="1"/>
    <xf numFmtId="181" fontId="27" fillId="3" borderId="0" xfId="0" applyNumberFormat="1" applyFont="1" applyFill="1" applyBorder="1" applyAlignment="1">
      <alignment vertical="center"/>
    </xf>
    <xf numFmtId="166" fontId="24" fillId="3" borderId="3" xfId="0" applyNumberFormat="1" applyFont="1" applyFill="1" applyBorder="1" applyAlignment="1">
      <alignment horizontal="right" vertical="center" wrapText="1"/>
    </xf>
    <xf numFmtId="166" fontId="24" fillId="3" borderId="0" xfId="0" applyNumberFormat="1" applyFont="1" applyFill="1" applyBorder="1" applyAlignment="1">
      <alignment horizontal="right" vertical="center" wrapText="1"/>
    </xf>
    <xf numFmtId="166" fontId="24" fillId="18" borderId="10" xfId="0" applyNumberFormat="1" applyFont="1" applyFill="1" applyBorder="1" applyAlignment="1">
      <alignment horizontal="right" vertical="center" wrapText="1"/>
    </xf>
    <xf numFmtId="0" fontId="11" fillId="0" borderId="2" xfId="0" applyFont="1" applyBorder="1" applyAlignment="1">
      <alignment vertical="center"/>
    </xf>
    <xf numFmtId="0" fontId="11" fillId="0" borderId="1" xfId="0" applyFont="1" applyBorder="1" applyAlignment="1">
      <alignment vertical="center"/>
    </xf>
    <xf numFmtId="0" fontId="48" fillId="3" borderId="22" xfId="0" applyFont="1" applyFill="1" applyBorder="1" applyAlignment="1">
      <alignment horizontal="left" vertical="center"/>
    </xf>
    <xf numFmtId="0" fontId="48" fillId="3" borderId="23" xfId="0" applyFont="1" applyFill="1" applyBorder="1" applyAlignment="1">
      <alignment horizontal="left" vertical="center"/>
    </xf>
    <xf numFmtId="181" fontId="54" fillId="0" borderId="0" xfId="0" applyNumberFormat="1" applyFont="1" applyFill="1" applyBorder="1" applyAlignment="1">
      <alignment horizontal="right" vertical="center"/>
    </xf>
    <xf numFmtId="166" fontId="24" fillId="0" borderId="0" xfId="0" applyNumberFormat="1" applyFont="1" applyFill="1" applyBorder="1" applyAlignment="1">
      <alignment horizontal="right" vertical="center" wrapText="1"/>
    </xf>
    <xf numFmtId="0" fontId="60" fillId="0" borderId="0" xfId="0" applyFont="1" applyFill="1" applyAlignment="1">
      <alignment vertical="center" wrapText="1"/>
    </xf>
    <xf numFmtId="168" fontId="15" fillId="3" borderId="0" xfId="7" applyNumberFormat="1" applyFont="1" applyFill="1" applyAlignment="1">
      <alignment vertical="center"/>
    </xf>
    <xf numFmtId="181" fontId="27" fillId="12" borderId="11" xfId="0" applyNumberFormat="1" applyFont="1" applyFill="1" applyBorder="1" applyAlignment="1">
      <alignment vertical="center"/>
    </xf>
    <xf numFmtId="181" fontId="6" fillId="2" borderId="11" xfId="0" applyNumberFormat="1" applyFont="1" applyFill="1" applyBorder="1" applyAlignment="1">
      <alignment horizontal="right" vertical="center" wrapText="1"/>
    </xf>
    <xf numFmtId="181" fontId="6" fillId="2" borderId="27" xfId="0" applyNumberFormat="1" applyFont="1" applyFill="1" applyBorder="1" applyAlignment="1">
      <alignment horizontal="right" vertical="center" wrapText="1"/>
    </xf>
    <xf numFmtId="3" fontId="45" fillId="0" borderId="0" xfId="0" applyNumberFormat="1" applyFont="1" applyFill="1" applyBorder="1" applyAlignment="1">
      <alignment horizontal="right" vertical="center" wrapText="1"/>
    </xf>
    <xf numFmtId="3" fontId="24" fillId="0" borderId="0" xfId="0" applyNumberFormat="1" applyFont="1" applyFill="1" applyBorder="1" applyAlignment="1">
      <alignment horizontal="right" vertical="center" wrapText="1"/>
    </xf>
    <xf numFmtId="3" fontId="24" fillId="0" borderId="30" xfId="0" applyNumberFormat="1" applyFont="1" applyFill="1" applyBorder="1" applyAlignment="1">
      <alignment horizontal="right" vertical="center" wrapText="1"/>
    </xf>
    <xf numFmtId="168" fontId="24" fillId="0" borderId="0" xfId="0" applyNumberFormat="1" applyFont="1" applyFill="1" applyBorder="1" applyAlignment="1">
      <alignment horizontal="right" vertical="center" wrapText="1"/>
    </xf>
    <xf numFmtId="2" fontId="24" fillId="0" borderId="18" xfId="0" applyNumberFormat="1" applyFont="1" applyFill="1" applyBorder="1" applyAlignment="1">
      <alignment horizontal="right" vertical="center" wrapText="1"/>
    </xf>
    <xf numFmtId="166" fontId="24" fillId="0" borderId="11" xfId="0" applyNumberFormat="1" applyFont="1" applyFill="1" applyBorder="1" applyAlignment="1">
      <alignment horizontal="right" vertical="center" wrapText="1"/>
    </xf>
    <xf numFmtId="3" fontId="50" fillId="0" borderId="0" xfId="6" applyNumberFormat="1" applyFont="1" applyFill="1" applyBorder="1" applyAlignment="1">
      <alignment horizontal="right" vertical="center" wrapText="1"/>
    </xf>
    <xf numFmtId="3" fontId="24" fillId="0" borderId="0" xfId="6" applyNumberFormat="1" applyFont="1" applyFill="1" applyBorder="1" applyAlignment="1">
      <alignment horizontal="right" vertical="center" wrapText="1"/>
    </xf>
    <xf numFmtId="3" fontId="13" fillId="0" borderId="33" xfId="0" applyNumberFormat="1" applyFont="1" applyFill="1" applyBorder="1" applyAlignment="1">
      <alignment vertical="center"/>
    </xf>
    <xf numFmtId="3" fontId="45" fillId="0" borderId="11" xfId="0" applyNumberFormat="1" applyFont="1" applyFill="1" applyBorder="1" applyAlignment="1">
      <alignment horizontal="right" vertical="center" wrapText="1"/>
    </xf>
    <xf numFmtId="166" fontId="24" fillId="0" borderId="7" xfId="0" applyNumberFormat="1" applyFont="1" applyFill="1" applyBorder="1" applyAlignment="1">
      <alignment horizontal="right" vertical="center" wrapText="1"/>
    </xf>
    <xf numFmtId="3" fontId="24" fillId="0" borderId="18" xfId="0" applyNumberFormat="1" applyFont="1" applyFill="1" applyBorder="1" applyAlignment="1">
      <alignment horizontal="right" vertical="center" wrapText="1"/>
    </xf>
    <xf numFmtId="3" fontId="45" fillId="0" borderId="30" xfId="0" applyNumberFormat="1" applyFont="1" applyFill="1" applyBorder="1" applyAlignment="1">
      <alignment horizontal="right" vertical="center" wrapText="1"/>
    </xf>
    <xf numFmtId="186" fontId="54" fillId="3" borderId="0" xfId="0" applyNumberFormat="1" applyFont="1" applyFill="1" applyBorder="1" applyAlignment="1">
      <alignment horizontal="right" vertical="center"/>
    </xf>
    <xf numFmtId="186" fontId="30" fillId="12" borderId="7" xfId="0" applyNumberFormat="1" applyFont="1" applyFill="1" applyBorder="1" applyAlignment="1">
      <alignment horizontal="right" vertical="center"/>
    </xf>
    <xf numFmtId="186" fontId="30" fillId="12" borderId="7" xfId="0" applyNumberFormat="1" applyFont="1" applyFill="1" applyBorder="1" applyAlignment="1">
      <alignment vertical="center"/>
    </xf>
    <xf numFmtId="186" fontId="54" fillId="3" borderId="0" xfId="0" applyNumberFormat="1" applyFont="1" applyFill="1" applyBorder="1" applyAlignment="1">
      <alignment vertical="center"/>
    </xf>
    <xf numFmtId="181" fontId="5" fillId="3" borderId="0" xfId="0" applyNumberFormat="1" applyFont="1" applyFill="1" applyBorder="1" applyAlignment="1">
      <alignment horizontal="right" vertical="center"/>
    </xf>
    <xf numFmtId="181" fontId="5" fillId="3" borderId="11" xfId="0" applyNumberFormat="1" applyFont="1" applyFill="1" applyBorder="1" applyAlignment="1">
      <alignment horizontal="right" vertical="center"/>
    </xf>
    <xf numFmtId="181" fontId="18" fillId="3" borderId="0" xfId="0" applyNumberFormat="1" applyFont="1" applyFill="1" applyBorder="1" applyAlignment="1">
      <alignment horizontal="right" vertical="center"/>
    </xf>
    <xf numFmtId="181" fontId="0" fillId="0" borderId="0" xfId="0" applyNumberFormat="1" applyAlignment="1">
      <alignment vertical="center"/>
    </xf>
    <xf numFmtId="181" fontId="5" fillId="3" borderId="18" xfId="0" applyNumberFormat="1" applyFont="1" applyFill="1" applyBorder="1" applyAlignment="1">
      <alignment vertical="center"/>
    </xf>
    <xf numFmtId="183" fontId="35" fillId="3" borderId="27" xfId="0" applyNumberFormat="1" applyFont="1" applyFill="1" applyBorder="1" applyAlignment="1">
      <alignment horizontal="right" vertical="center"/>
    </xf>
    <xf numFmtId="181" fontId="5" fillId="3" borderId="0" xfId="0" applyNumberFormat="1" applyFont="1" applyFill="1" applyBorder="1" applyAlignment="1">
      <alignment horizontal="right" vertical="center"/>
    </xf>
    <xf numFmtId="181" fontId="5" fillId="3" borderId="11" xfId="0" applyNumberFormat="1" applyFont="1" applyFill="1" applyBorder="1" applyAlignment="1">
      <alignment horizontal="right" vertical="center"/>
    </xf>
    <xf numFmtId="181" fontId="33" fillId="3" borderId="10" xfId="0" applyNumberFormat="1" applyFont="1" applyFill="1" applyBorder="1" applyAlignment="1">
      <alignment horizontal="right" vertical="center"/>
    </xf>
    <xf numFmtId="181" fontId="18" fillId="3" borderId="0" xfId="0" applyNumberFormat="1" applyFont="1" applyFill="1" applyBorder="1" applyAlignment="1">
      <alignment horizontal="right" vertical="center"/>
    </xf>
    <xf numFmtId="181" fontId="33" fillId="3" borderId="19" xfId="0" applyNumberFormat="1" applyFont="1" applyFill="1" applyBorder="1" applyAlignment="1">
      <alignment vertical="center"/>
    </xf>
    <xf numFmtId="183" fontId="35" fillId="3" borderId="0" xfId="0" applyNumberFormat="1" applyFont="1" applyFill="1" applyBorder="1" applyAlignment="1">
      <alignment vertical="center"/>
    </xf>
    <xf numFmtId="183" fontId="35" fillId="3" borderId="18" xfId="0" applyNumberFormat="1" applyFont="1" applyFill="1" applyBorder="1" applyAlignment="1">
      <alignment vertical="center"/>
    </xf>
    <xf numFmtId="169" fontId="18" fillId="2" borderId="0" xfId="0" applyNumberFormat="1" applyFont="1" applyFill="1" applyBorder="1" applyAlignment="1">
      <alignment horizontal="right" vertical="center"/>
    </xf>
    <xf numFmtId="0" fontId="35" fillId="2" borderId="0" xfId="0" applyFont="1" applyFill="1" applyBorder="1" applyAlignment="1">
      <alignment vertical="center"/>
    </xf>
    <xf numFmtId="0" fontId="5" fillId="2" borderId="18" xfId="0" applyFont="1" applyFill="1" applyBorder="1" applyAlignment="1">
      <alignment vertical="center"/>
    </xf>
    <xf numFmtId="169" fontId="5" fillId="2" borderId="11" xfId="0" applyNumberFormat="1" applyFont="1" applyFill="1" applyBorder="1" applyAlignment="1">
      <alignment horizontal="right" vertical="center"/>
    </xf>
    <xf numFmtId="169" fontId="5" fillId="2" borderId="0" xfId="0" applyNumberFormat="1" applyFont="1" applyFill="1" applyBorder="1" applyAlignment="1">
      <alignment horizontal="right" vertical="center"/>
    </xf>
    <xf numFmtId="181" fontId="5" fillId="3" borderId="0" xfId="0" applyNumberFormat="1" applyFont="1" applyFill="1" applyBorder="1" applyAlignment="1">
      <alignment horizontal="right" vertical="center"/>
    </xf>
    <xf numFmtId="181" fontId="5" fillId="2" borderId="3" xfId="0" applyNumberFormat="1" applyFont="1" applyFill="1" applyBorder="1" applyAlignment="1">
      <alignment horizontal="right" vertical="center" wrapText="1"/>
    </xf>
    <xf numFmtId="181" fontId="5" fillId="2" borderId="0" xfId="0" applyNumberFormat="1" applyFont="1" applyFill="1" applyBorder="1" applyAlignment="1">
      <alignment horizontal="right" vertical="center" wrapText="1"/>
    </xf>
    <xf numFmtId="181" fontId="5" fillId="3" borderId="0" xfId="0" applyNumberFormat="1" applyFont="1" applyFill="1" applyBorder="1" applyAlignment="1">
      <alignment horizontal="right" vertical="center" wrapText="1"/>
    </xf>
    <xf numFmtId="181" fontId="33" fillId="3" borderId="10" xfId="0" applyNumberFormat="1" applyFont="1" applyFill="1" applyBorder="1" applyAlignment="1">
      <alignment horizontal="right" vertical="center" wrapText="1"/>
    </xf>
    <xf numFmtId="181" fontId="5" fillId="2" borderId="11" xfId="0" applyNumberFormat="1" applyFont="1" applyFill="1" applyBorder="1" applyAlignment="1">
      <alignment horizontal="right" vertical="center" wrapText="1"/>
    </xf>
    <xf numFmtId="181" fontId="33" fillId="3" borderId="12" xfId="0" applyNumberFormat="1" applyFont="1" applyFill="1" applyBorder="1" applyAlignment="1">
      <alignment horizontal="right" vertical="center" wrapText="1"/>
    </xf>
    <xf numFmtId="181" fontId="18" fillId="2" borderId="3" xfId="0" applyNumberFormat="1" applyFont="1" applyFill="1" applyBorder="1" applyAlignment="1">
      <alignment horizontal="right" vertical="center"/>
    </xf>
    <xf numFmtId="181" fontId="18" fillId="2" borderId="0" xfId="0" applyNumberFormat="1" applyFont="1" applyFill="1" applyBorder="1" applyAlignment="1">
      <alignment horizontal="right" vertical="center"/>
    </xf>
    <xf numFmtId="181" fontId="18" fillId="3" borderId="0" xfId="0" applyNumberFormat="1" applyFont="1" applyFill="1" applyBorder="1" applyAlignment="1">
      <alignment horizontal="right" vertical="center"/>
    </xf>
    <xf numFmtId="181" fontId="34" fillId="3" borderId="10" xfId="0" applyNumberFormat="1" applyFont="1" applyFill="1" applyBorder="1" applyAlignment="1">
      <alignment horizontal="right" vertical="center" wrapText="1"/>
    </xf>
    <xf numFmtId="181" fontId="18" fillId="2" borderId="0" xfId="0" applyNumberFormat="1" applyFont="1" applyFill="1" applyBorder="1" applyAlignment="1">
      <alignment horizontal="right" vertical="center" wrapText="1"/>
    </xf>
    <xf numFmtId="181" fontId="18" fillId="3" borderId="0" xfId="0" applyNumberFormat="1" applyFont="1" applyFill="1" applyBorder="1" applyAlignment="1">
      <alignment horizontal="right" vertical="center" wrapText="1"/>
    </xf>
    <xf numFmtId="181" fontId="5" fillId="2" borderId="27" xfId="0" applyNumberFormat="1" applyFont="1" applyFill="1" applyBorder="1" applyAlignment="1">
      <alignment horizontal="right" vertical="center" wrapText="1"/>
    </xf>
    <xf numFmtId="181" fontId="5" fillId="3" borderId="2" xfId="0" applyNumberFormat="1" applyFont="1" applyFill="1" applyBorder="1" applyAlignment="1">
      <alignment horizontal="right" vertical="center" wrapText="1"/>
    </xf>
    <xf numFmtId="181" fontId="35" fillId="2" borderId="0" xfId="0" applyNumberFormat="1" applyFont="1" applyFill="1" applyBorder="1" applyAlignment="1">
      <alignment vertical="center"/>
    </xf>
    <xf numFmtId="181" fontId="35" fillId="3" borderId="0" xfId="0" applyNumberFormat="1" applyFont="1" applyFill="1" applyBorder="1" applyAlignment="1">
      <alignment vertical="center"/>
    </xf>
    <xf numFmtId="181" fontId="5" fillId="3" borderId="18" xfId="0" applyNumberFormat="1" applyFont="1" applyFill="1" applyBorder="1" applyAlignment="1">
      <alignment vertical="center"/>
    </xf>
    <xf numFmtId="181" fontId="5" fillId="2" borderId="18" xfId="0" applyNumberFormat="1" applyFont="1" applyFill="1" applyBorder="1" applyAlignment="1">
      <alignment horizontal="right" vertical="center" wrapText="1"/>
    </xf>
    <xf numFmtId="181" fontId="5" fillId="2" borderId="18" xfId="0" applyNumberFormat="1" applyFont="1" applyFill="1" applyBorder="1" applyAlignment="1">
      <alignment vertical="center"/>
    </xf>
    <xf numFmtId="181" fontId="5" fillId="2" borderId="0" xfId="0" applyNumberFormat="1" applyFont="1" applyFill="1" applyBorder="1" applyAlignment="1">
      <alignment horizontal="right" vertical="center"/>
    </xf>
    <xf numFmtId="180" fontId="15" fillId="3" borderId="0" xfId="0" applyNumberFormat="1" applyFont="1" applyFill="1" applyBorder="1" applyAlignment="1">
      <alignment vertical="center"/>
    </xf>
    <xf numFmtId="180" fontId="38" fillId="3" borderId="0" xfId="8" applyNumberFormat="1" applyFont="1" applyFill="1" applyBorder="1" applyAlignment="1">
      <alignment horizontal="right" vertical="center"/>
    </xf>
    <xf numFmtId="180" fontId="40" fillId="3" borderId="0" xfId="0" applyNumberFormat="1" applyFont="1" applyFill="1" applyBorder="1" applyAlignment="1">
      <alignment vertical="center"/>
    </xf>
    <xf numFmtId="180" fontId="15" fillId="3" borderId="18" xfId="0" applyNumberFormat="1" applyFont="1" applyFill="1" applyBorder="1" applyAlignment="1">
      <alignment vertical="center"/>
    </xf>
    <xf numFmtId="180" fontId="15" fillId="3" borderId="0" xfId="0" applyNumberFormat="1" applyFont="1" applyFill="1" applyBorder="1" applyAlignment="1">
      <alignment vertical="center"/>
    </xf>
    <xf numFmtId="180" fontId="38" fillId="3" borderId="0" xfId="8" applyNumberFormat="1" applyFont="1" applyFill="1" applyBorder="1" applyAlignment="1">
      <alignment horizontal="right" vertical="center"/>
    </xf>
    <xf numFmtId="180" fontId="40" fillId="3" borderId="0" xfId="0" applyNumberFormat="1" applyFont="1" applyFill="1" applyBorder="1" applyAlignment="1">
      <alignment vertical="center"/>
    </xf>
    <xf numFmtId="180" fontId="15" fillId="3" borderId="11" xfId="0" applyNumberFormat="1" applyFont="1" applyFill="1" applyBorder="1" applyAlignment="1">
      <alignment vertical="center"/>
    </xf>
    <xf numFmtId="180" fontId="15" fillId="3" borderId="0" xfId="0" applyNumberFormat="1" applyFont="1" applyFill="1" applyBorder="1" applyAlignment="1">
      <alignment vertical="center"/>
    </xf>
    <xf numFmtId="180" fontId="15" fillId="3" borderId="11" xfId="0" applyNumberFormat="1" applyFont="1" applyFill="1" applyBorder="1" applyAlignment="1">
      <alignment vertical="center"/>
    </xf>
    <xf numFmtId="180" fontId="38" fillId="3" borderId="0" xfId="0" applyNumberFormat="1" applyFont="1" applyFill="1" applyBorder="1" applyAlignment="1">
      <alignment horizontal="right" vertical="center"/>
    </xf>
    <xf numFmtId="180" fontId="15" fillId="3" borderId="0" xfId="0" applyNumberFormat="1" applyFont="1" applyFill="1" applyBorder="1" applyAlignment="1">
      <alignment horizontal="right" vertical="center"/>
    </xf>
    <xf numFmtId="180" fontId="41" fillId="3" borderId="0" xfId="0" applyNumberFormat="1" applyFont="1" applyFill="1" applyBorder="1" applyAlignment="1">
      <alignment horizontal="right" vertical="center"/>
    </xf>
    <xf numFmtId="180" fontId="15" fillId="3" borderId="0" xfId="0" applyNumberFormat="1" applyFont="1" applyFill="1" applyBorder="1" applyAlignment="1">
      <alignment vertical="center"/>
    </xf>
    <xf numFmtId="180" fontId="40" fillId="3" borderId="0" xfId="0" applyNumberFormat="1" applyFont="1" applyFill="1" applyBorder="1" applyAlignment="1">
      <alignment vertical="center"/>
    </xf>
    <xf numFmtId="180" fontId="15" fillId="3" borderId="0" xfId="0" applyNumberFormat="1" applyFont="1" applyFill="1" applyBorder="1" applyAlignment="1">
      <alignment horizontal="right" vertical="center"/>
    </xf>
    <xf numFmtId="180" fontId="15" fillId="3" borderId="0" xfId="0" applyNumberFormat="1" applyFont="1" applyFill="1" applyBorder="1" applyAlignment="1">
      <alignment vertical="center"/>
    </xf>
    <xf numFmtId="180" fontId="40" fillId="3" borderId="0" xfId="0" applyNumberFormat="1" applyFont="1" applyFill="1" applyBorder="1" applyAlignment="1">
      <alignment vertical="center"/>
    </xf>
    <xf numFmtId="180" fontId="27" fillId="12" borderId="7" xfId="0" applyNumberFormat="1" applyFont="1" applyFill="1" applyBorder="1" applyAlignment="1">
      <alignment vertical="center"/>
    </xf>
    <xf numFmtId="180" fontId="15" fillId="3" borderId="0" xfId="0" applyNumberFormat="1" applyFont="1" applyFill="1" applyBorder="1" applyAlignment="1">
      <alignment horizontal="right" vertical="center"/>
    </xf>
    <xf numFmtId="180" fontId="29" fillId="3" borderId="0" xfId="0" applyNumberFormat="1" applyFont="1" applyFill="1" applyBorder="1" applyAlignment="1">
      <alignment horizontal="right" vertical="center"/>
    </xf>
    <xf numFmtId="3" fontId="45" fillId="3" borderId="7" xfId="0" applyNumberFormat="1" applyFont="1" applyFill="1" applyBorder="1" applyAlignment="1">
      <alignment horizontal="right" vertical="center" wrapText="1"/>
    </xf>
    <xf numFmtId="3" fontId="50" fillId="0" borderId="0" xfId="0" applyNumberFormat="1" applyFont="1" applyFill="1" applyBorder="1" applyAlignment="1">
      <alignment horizontal="right" vertical="center" wrapText="1"/>
    </xf>
    <xf numFmtId="166" fontId="52" fillId="2" borderId="11" xfId="0" applyNumberFormat="1" applyFont="1" applyFill="1" applyBorder="1" applyAlignment="1">
      <alignment horizontal="right" vertical="center" wrapText="1"/>
    </xf>
    <xf numFmtId="0" fontId="11" fillId="3" borderId="0" xfId="0" applyFont="1" applyFill="1" applyAlignment="1">
      <alignment vertical="center"/>
    </xf>
    <xf numFmtId="0" fontId="11" fillId="3" borderId="0" xfId="0" applyFont="1" applyFill="1" applyAlignment="1">
      <alignment vertical="top"/>
    </xf>
    <xf numFmtId="168" fontId="24" fillId="2" borderId="0" xfId="6" applyNumberFormat="1" applyFont="1" applyFill="1" applyBorder="1" applyAlignment="1">
      <alignment horizontal="right" vertical="center" wrapText="1"/>
    </xf>
    <xf numFmtId="166" fontId="24" fillId="0" borderId="11" xfId="0" applyNumberFormat="1" applyFont="1" applyFill="1" applyBorder="1" applyAlignment="1">
      <alignment horizontal="right" vertical="center" wrapText="1"/>
    </xf>
    <xf numFmtId="166" fontId="24" fillId="0" borderId="0" xfId="0" applyNumberFormat="1" applyFont="1" applyFill="1" applyBorder="1" applyAlignment="1">
      <alignment horizontal="right" vertical="center" wrapText="1"/>
    </xf>
    <xf numFmtId="0" fontId="0" fillId="0" borderId="0" xfId="0"/>
    <xf numFmtId="181" fontId="27" fillId="3" borderId="7" xfId="0" applyNumberFormat="1" applyFont="1" applyFill="1" applyBorder="1" applyAlignment="1">
      <alignment vertical="center"/>
    </xf>
    <xf numFmtId="181" fontId="15" fillId="3" borderId="0" xfId="0" applyNumberFormat="1" applyFont="1" applyFill="1" applyBorder="1" applyAlignment="1">
      <alignment vertical="center"/>
    </xf>
    <xf numFmtId="181" fontId="27" fillId="12" borderId="7" xfId="0" applyNumberFormat="1" applyFont="1" applyFill="1" applyBorder="1" applyAlignment="1">
      <alignment vertical="center"/>
    </xf>
    <xf numFmtId="181" fontId="27" fillId="3" borderId="2" xfId="0" applyNumberFormat="1" applyFont="1" applyFill="1" applyBorder="1" applyAlignment="1">
      <alignment vertical="center"/>
    </xf>
    <xf numFmtId="181" fontId="29" fillId="3" borderId="0" xfId="0" applyNumberFormat="1" applyFont="1" applyFill="1" applyBorder="1" applyAlignment="1">
      <alignment horizontal="right" vertical="center"/>
    </xf>
    <xf numFmtId="181" fontId="15" fillId="0" borderId="0" xfId="0" applyNumberFormat="1" applyFont="1" applyFill="1" applyBorder="1" applyAlignment="1">
      <alignment vertical="center"/>
    </xf>
    <xf numFmtId="181" fontId="29" fillId="0" borderId="0" xfId="0" applyNumberFormat="1" applyFont="1" applyFill="1" applyBorder="1" applyAlignment="1">
      <alignment horizontal="right" vertical="center"/>
    </xf>
    <xf numFmtId="181" fontId="27" fillId="0" borderId="0" xfId="0" applyNumberFormat="1" applyFont="1" applyFill="1" applyBorder="1" applyAlignment="1">
      <alignment vertical="center"/>
    </xf>
    <xf numFmtId="170" fontId="15" fillId="0" borderId="0" xfId="0" applyNumberFormat="1" applyFont="1"/>
    <xf numFmtId="186" fontId="15" fillId="0" borderId="0" xfId="0" applyNumberFormat="1" applyFont="1"/>
    <xf numFmtId="176" fontId="27" fillId="0" borderId="0" xfId="0" applyNumberFormat="1" applyFont="1"/>
    <xf numFmtId="176" fontId="15" fillId="0" borderId="0" xfId="0" applyNumberFormat="1" applyFont="1"/>
    <xf numFmtId="176" fontId="27" fillId="0" borderId="0" xfId="0" applyNumberFormat="1" applyFont="1" applyFill="1"/>
    <xf numFmtId="170" fontId="27" fillId="0" borderId="0" xfId="0" applyNumberFormat="1" applyFont="1"/>
    <xf numFmtId="181" fontId="15" fillId="0" borderId="0" xfId="0" applyNumberFormat="1" applyFont="1"/>
    <xf numFmtId="186" fontId="27" fillId="0" borderId="0" xfId="0" applyNumberFormat="1" applyFont="1"/>
    <xf numFmtId="166" fontId="27" fillId="0" borderId="0" xfId="0" applyNumberFormat="1" applyFont="1"/>
    <xf numFmtId="168" fontId="27" fillId="0" borderId="0" xfId="0" applyNumberFormat="1" applyFont="1"/>
    <xf numFmtId="0" fontId="63" fillId="3" borderId="0" xfId="0" applyFont="1" applyFill="1"/>
    <xf numFmtId="0" fontId="63" fillId="3" borderId="0" xfId="0" applyFont="1" applyFill="1" applyAlignment="1">
      <alignment vertical="center"/>
    </xf>
    <xf numFmtId="0" fontId="63" fillId="3" borderId="0" xfId="0" applyFont="1" applyFill="1" applyBorder="1" applyAlignment="1">
      <alignment vertical="center"/>
    </xf>
    <xf numFmtId="169" fontId="63" fillId="3" borderId="0" xfId="0" applyNumberFormat="1" applyFont="1" applyFill="1" applyAlignment="1">
      <alignment vertical="center"/>
    </xf>
    <xf numFmtId="3" fontId="63" fillId="3" borderId="0" xfId="0" applyNumberFormat="1" applyFont="1" applyFill="1" applyBorder="1" applyAlignment="1">
      <alignment horizontal="right" vertical="center" wrapText="1"/>
    </xf>
    <xf numFmtId="3" fontId="63" fillId="3" borderId="0" xfId="0" applyNumberFormat="1" applyFont="1" applyFill="1" applyBorder="1" applyAlignment="1">
      <alignment vertical="center"/>
    </xf>
    <xf numFmtId="0" fontId="32" fillId="0" borderId="0" xfId="0" applyFont="1" applyFill="1" applyBorder="1" applyAlignment="1">
      <alignment vertical="center"/>
    </xf>
    <xf numFmtId="170" fontId="41" fillId="7" borderId="8" xfId="0" applyNumberFormat="1" applyFont="1" applyFill="1" applyBorder="1" applyAlignment="1">
      <alignment horizontal="right" vertical="center"/>
    </xf>
    <xf numFmtId="176" fontId="64" fillId="3" borderId="0" xfId="0" applyNumberFormat="1" applyFont="1" applyFill="1" applyBorder="1" applyAlignment="1">
      <alignment horizontal="right" vertical="center"/>
    </xf>
    <xf numFmtId="187" fontId="30" fillId="3" borderId="0" xfId="0" applyNumberFormat="1" applyFont="1" applyFill="1" applyBorder="1" applyAlignment="1">
      <alignment horizontal="right" vertical="center"/>
    </xf>
    <xf numFmtId="0" fontId="8" fillId="3" borderId="23" xfId="0" applyFont="1" applyFill="1" applyBorder="1" applyAlignment="1">
      <alignment vertical="center"/>
    </xf>
    <xf numFmtId="169" fontId="8" fillId="3" borderId="0" xfId="0" applyNumberFormat="1" applyFont="1" applyFill="1"/>
    <xf numFmtId="181" fontId="6" fillId="2" borderId="0" xfId="0" applyNumberFormat="1" applyFont="1" applyFill="1" applyBorder="1" applyAlignment="1">
      <alignment horizontal="right" vertical="center" wrapText="1"/>
    </xf>
    <xf numFmtId="181" fontId="6" fillId="2" borderId="18" xfId="0" applyNumberFormat="1" applyFont="1" applyFill="1" applyBorder="1" applyAlignment="1">
      <alignment vertical="center"/>
    </xf>
    <xf numFmtId="0" fontId="65" fillId="3" borderId="0" xfId="0" applyFont="1" applyFill="1"/>
    <xf numFmtId="0" fontId="41" fillId="8" borderId="16" xfId="0" applyFont="1" applyFill="1" applyBorder="1" applyAlignment="1">
      <alignment horizontal="right" vertical="center"/>
    </xf>
    <xf numFmtId="170" fontId="41" fillId="9" borderId="8" xfId="0" applyNumberFormat="1" applyFont="1" applyFill="1" applyBorder="1" applyAlignment="1">
      <alignment horizontal="right" vertical="center"/>
    </xf>
    <xf numFmtId="170" fontId="38" fillId="9" borderId="10" xfId="0" applyNumberFormat="1" applyFont="1" applyFill="1" applyBorder="1" applyAlignment="1">
      <alignment horizontal="right" vertical="center"/>
    </xf>
    <xf numFmtId="176" fontId="41" fillId="7" borderId="8" xfId="0" applyNumberFormat="1" applyFont="1" applyFill="1" applyBorder="1" applyAlignment="1">
      <alignment vertical="center"/>
    </xf>
    <xf numFmtId="176" fontId="38" fillId="9" borderId="10" xfId="0" applyNumberFormat="1" applyFont="1" applyFill="1" applyBorder="1" applyAlignment="1">
      <alignment horizontal="right" vertical="center"/>
    </xf>
    <xf numFmtId="176" fontId="41" fillId="7" borderId="8" xfId="0" applyNumberFormat="1" applyFont="1" applyFill="1" applyBorder="1" applyAlignment="1">
      <alignment horizontal="right" vertical="center"/>
    </xf>
    <xf numFmtId="181" fontId="38" fillId="9" borderId="10" xfId="0" applyNumberFormat="1" applyFont="1" applyFill="1" applyBorder="1" applyAlignment="1">
      <alignment horizontal="right" vertical="center"/>
    </xf>
    <xf numFmtId="178" fontId="41" fillId="9" borderId="10" xfId="0" applyNumberFormat="1" applyFont="1" applyFill="1" applyBorder="1" applyAlignment="1">
      <alignment horizontal="right" vertical="center"/>
    </xf>
    <xf numFmtId="169" fontId="41" fillId="10" borderId="12" xfId="0" applyNumberFormat="1" applyFont="1" applyFill="1" applyBorder="1" applyAlignment="1">
      <alignment vertical="center" wrapText="1"/>
    </xf>
    <xf numFmtId="168" fontId="41" fillId="10" borderId="19" xfId="2" applyNumberFormat="1" applyFont="1" applyFill="1" applyBorder="1" applyAlignment="1">
      <alignment vertical="center" wrapText="1"/>
    </xf>
    <xf numFmtId="0" fontId="38" fillId="3" borderId="0" xfId="0" applyFont="1" applyFill="1" applyAlignment="1">
      <alignment vertical="center"/>
    </xf>
    <xf numFmtId="0" fontId="38" fillId="3" borderId="0" xfId="0" applyFont="1" applyFill="1"/>
    <xf numFmtId="0" fontId="38" fillId="0" borderId="0" xfId="0" applyFont="1" applyAlignment="1">
      <alignment vertical="center"/>
    </xf>
    <xf numFmtId="0" fontId="15" fillId="3" borderId="0" xfId="0" applyFont="1" applyFill="1" applyAlignment="1">
      <alignment horizontal="left" vertical="center" wrapText="1"/>
    </xf>
    <xf numFmtId="0" fontId="3" fillId="3" borderId="22" xfId="0" applyFont="1" applyFill="1" applyBorder="1" applyAlignment="1">
      <alignment vertical="center" wrapText="1"/>
    </xf>
    <xf numFmtId="170" fontId="15" fillId="3" borderId="3" xfId="0" applyNumberFormat="1" applyFont="1" applyFill="1" applyBorder="1" applyAlignment="1">
      <alignment horizontal="right" vertical="center"/>
    </xf>
    <xf numFmtId="176" fontId="15" fillId="3" borderId="3" xfId="0" applyNumberFormat="1" applyFont="1" applyFill="1" applyBorder="1" applyAlignment="1">
      <alignment horizontal="right" vertical="center"/>
    </xf>
    <xf numFmtId="176" fontId="27" fillId="12" borderId="6" xfId="0" applyNumberFormat="1" applyFont="1" applyFill="1" applyBorder="1" applyAlignment="1">
      <alignment vertical="center"/>
    </xf>
    <xf numFmtId="170" fontId="54" fillId="3" borderId="4" xfId="0" applyNumberFormat="1" applyFont="1" applyFill="1" applyBorder="1" applyAlignment="1">
      <alignment horizontal="right" vertical="center"/>
    </xf>
    <xf numFmtId="170" fontId="54" fillId="3" borderId="3" xfId="0" applyNumberFormat="1" applyFont="1" applyFill="1" applyBorder="1" applyAlignment="1">
      <alignment horizontal="right" vertical="center"/>
    </xf>
    <xf numFmtId="170" fontId="54" fillId="3" borderId="5" xfId="0" applyNumberFormat="1" applyFont="1" applyFill="1" applyBorder="1" applyAlignment="1">
      <alignment horizontal="right" vertical="center"/>
    </xf>
    <xf numFmtId="181" fontId="5" fillId="3" borderId="27" xfId="0" applyNumberFormat="1" applyFont="1" applyFill="1" applyBorder="1" applyAlignment="1">
      <alignment horizontal="right" vertical="center" wrapText="1"/>
    </xf>
    <xf numFmtId="181" fontId="5" fillId="3" borderId="18" xfId="0" applyNumberFormat="1" applyFont="1" applyFill="1" applyBorder="1" applyAlignment="1">
      <alignment horizontal="right" vertical="center" wrapText="1"/>
    </xf>
    <xf numFmtId="181" fontId="5" fillId="2" borderId="65" xfId="0" applyNumberFormat="1" applyFont="1" applyFill="1" applyBorder="1" applyAlignment="1">
      <alignment horizontal="right" vertical="center"/>
    </xf>
    <xf numFmtId="183" fontId="35" fillId="2" borderId="27" xfId="0" applyNumberFormat="1" applyFont="1" applyFill="1" applyBorder="1" applyAlignment="1">
      <alignment horizontal="right" vertical="center"/>
    </xf>
    <xf numFmtId="181" fontId="0" fillId="2" borderId="0" xfId="0" applyNumberFormat="1" applyFill="1" applyBorder="1" applyAlignment="1">
      <alignment vertical="center"/>
    </xf>
    <xf numFmtId="181" fontId="5" fillId="3" borderId="65" xfId="0" applyNumberFormat="1" applyFont="1" applyFill="1" applyBorder="1" applyAlignment="1">
      <alignment horizontal="right" vertical="center" wrapText="1"/>
    </xf>
    <xf numFmtId="181" fontId="15" fillId="3" borderId="5" xfId="0" applyNumberFormat="1" applyFont="1" applyFill="1" applyBorder="1" applyAlignment="1">
      <alignment vertical="center"/>
    </xf>
    <xf numFmtId="169" fontId="59" fillId="6" borderId="4" xfId="0" applyNumberFormat="1" applyFont="1" applyFill="1" applyBorder="1" applyAlignment="1">
      <alignment vertical="center" wrapText="1"/>
    </xf>
    <xf numFmtId="181" fontId="38" fillId="3" borderId="0" xfId="0" applyNumberFormat="1" applyFont="1" applyFill="1" applyBorder="1" applyAlignment="1">
      <alignment vertical="center"/>
    </xf>
    <xf numFmtId="0" fontId="38" fillId="0" borderId="3" xfId="0" applyFont="1" applyFill="1" applyBorder="1" applyAlignment="1">
      <alignment horizontal="left" vertical="center" wrapText="1"/>
    </xf>
    <xf numFmtId="176" fontId="38" fillId="0" borderId="0" xfId="0" applyNumberFormat="1" applyFont="1" applyFill="1" applyBorder="1" applyAlignment="1">
      <alignment horizontal="right" vertical="center"/>
    </xf>
    <xf numFmtId="176" fontId="38" fillId="9" borderId="0" xfId="0" applyNumberFormat="1" applyFont="1" applyFill="1" applyBorder="1" applyAlignment="1">
      <alignment horizontal="right" vertical="center"/>
    </xf>
    <xf numFmtId="176" fontId="38" fillId="0" borderId="3" xfId="0" applyNumberFormat="1" applyFont="1" applyFill="1" applyBorder="1" applyAlignment="1">
      <alignment horizontal="right" vertical="center"/>
    </xf>
    <xf numFmtId="176" fontId="38" fillId="3" borderId="0" xfId="0" applyNumberFormat="1" applyFont="1" applyFill="1" applyBorder="1" applyAlignment="1">
      <alignment horizontal="right" vertical="center"/>
    </xf>
    <xf numFmtId="186" fontId="38" fillId="0" borderId="0" xfId="0" applyNumberFormat="1" applyFont="1"/>
    <xf numFmtId="176" fontId="38" fillId="3" borderId="3" xfId="0" applyNumberFormat="1" applyFont="1" applyFill="1" applyBorder="1" applyAlignment="1">
      <alignment horizontal="right" vertical="center"/>
    </xf>
    <xf numFmtId="0" fontId="38" fillId="0" borderId="0" xfId="0" applyFont="1"/>
    <xf numFmtId="0" fontId="187" fillId="3" borderId="22" xfId="0" applyFont="1" applyFill="1" applyBorder="1" applyAlignment="1">
      <alignment vertical="center"/>
    </xf>
    <xf numFmtId="181" fontId="188" fillId="2" borderId="65" xfId="0" applyNumberFormat="1" applyFont="1" applyFill="1" applyBorder="1" applyAlignment="1">
      <alignment vertical="center"/>
    </xf>
    <xf numFmtId="181" fontId="188" fillId="3" borderId="11" xfId="0" applyNumberFormat="1" applyFont="1" applyFill="1" applyBorder="1" applyAlignment="1">
      <alignment vertical="center"/>
    </xf>
    <xf numFmtId="181" fontId="187" fillId="3" borderId="12" xfId="0" applyNumberFormat="1" applyFont="1" applyFill="1" applyBorder="1" applyAlignment="1">
      <alignment vertical="center"/>
    </xf>
    <xf numFmtId="0" fontId="63" fillId="2" borderId="11" xfId="0" applyFont="1" applyFill="1" applyBorder="1" applyAlignment="1">
      <alignment vertical="center"/>
    </xf>
    <xf numFmtId="181" fontId="63" fillId="2" borderId="11" xfId="0" applyNumberFormat="1" applyFont="1" applyFill="1" applyBorder="1" applyAlignment="1">
      <alignment vertical="center"/>
    </xf>
    <xf numFmtId="181" fontId="188" fillId="2" borderId="11" xfId="0" applyNumberFormat="1" applyFont="1" applyFill="1" applyBorder="1" applyAlignment="1">
      <alignment vertical="center"/>
    </xf>
    <xf numFmtId="181" fontId="63" fillId="3" borderId="65" xfId="0" applyNumberFormat="1" applyFont="1" applyFill="1" applyBorder="1" applyAlignment="1">
      <alignment vertical="center"/>
    </xf>
    <xf numFmtId="181" fontId="63" fillId="3" borderId="11" xfId="0" applyNumberFormat="1" applyFont="1" applyFill="1" applyBorder="1" applyAlignment="1">
      <alignment vertical="center"/>
    </xf>
    <xf numFmtId="0" fontId="63" fillId="0" borderId="0" xfId="0" applyFont="1" applyAlignment="1">
      <alignment vertical="center"/>
    </xf>
    <xf numFmtId="0" fontId="38" fillId="3" borderId="3" xfId="0" applyFont="1" applyFill="1" applyBorder="1" applyAlignment="1">
      <alignment horizontal="left" vertical="center"/>
    </xf>
    <xf numFmtId="0" fontId="38" fillId="3" borderId="3" xfId="0" applyFont="1" applyFill="1" applyBorder="1" applyAlignment="1">
      <alignment vertical="center"/>
    </xf>
    <xf numFmtId="0" fontId="38" fillId="0" borderId="3" xfId="0" applyFont="1" applyFill="1" applyBorder="1" applyAlignment="1">
      <alignment vertical="center"/>
    </xf>
    <xf numFmtId="181" fontId="38" fillId="3" borderId="10" xfId="0" applyNumberFormat="1" applyFont="1" applyFill="1" applyBorder="1" applyAlignment="1">
      <alignment vertical="center"/>
    </xf>
    <xf numFmtId="181" fontId="38" fillId="3" borderId="3" xfId="0" applyNumberFormat="1" applyFont="1" applyFill="1" applyBorder="1" applyAlignment="1">
      <alignment vertical="center"/>
    </xf>
    <xf numFmtId="182" fontId="38" fillId="3" borderId="0" xfId="0" applyNumberFormat="1" applyFont="1" applyFill="1" applyAlignment="1">
      <alignment vertical="center"/>
    </xf>
    <xf numFmtId="181" fontId="38" fillId="3" borderId="0" xfId="0" applyNumberFormat="1" applyFont="1" applyFill="1" applyAlignment="1">
      <alignment vertical="center"/>
    </xf>
    <xf numFmtId="181" fontId="38" fillId="2" borderId="0" xfId="0" applyNumberFormat="1" applyFont="1" applyFill="1" applyAlignment="1">
      <alignment vertical="center"/>
    </xf>
    <xf numFmtId="181" fontId="38" fillId="2" borderId="10" xfId="0" applyNumberFormat="1" applyFont="1" applyFill="1" applyBorder="1" applyAlignment="1">
      <alignment vertical="center"/>
    </xf>
    <xf numFmtId="181" fontId="38" fillId="0" borderId="3" xfId="0" applyNumberFormat="1" applyFont="1" applyFill="1" applyBorder="1" applyAlignment="1">
      <alignment vertical="center"/>
    </xf>
    <xf numFmtId="182" fontId="38" fillId="3" borderId="0" xfId="0" applyNumberFormat="1" applyFont="1" applyFill="1" applyBorder="1" applyAlignment="1">
      <alignment vertical="center"/>
    </xf>
    <xf numFmtId="182" fontId="38" fillId="3" borderId="10" xfId="0" applyNumberFormat="1" applyFont="1" applyFill="1" applyBorder="1" applyAlignment="1">
      <alignment vertical="center"/>
    </xf>
    <xf numFmtId="182" fontId="38" fillId="3" borderId="3" xfId="0" applyNumberFormat="1" applyFont="1" applyFill="1" applyBorder="1" applyAlignment="1">
      <alignment vertical="center"/>
    </xf>
    <xf numFmtId="0" fontId="38" fillId="3" borderId="3" xfId="0" applyFont="1" applyFill="1" applyBorder="1" applyAlignment="1">
      <alignment vertical="center" wrapText="1"/>
    </xf>
    <xf numFmtId="181" fontId="42" fillId="3" borderId="0" xfId="0" applyNumberFormat="1" applyFont="1" applyFill="1" applyBorder="1" applyAlignment="1">
      <alignment horizontal="right" vertical="center"/>
    </xf>
    <xf numFmtId="169" fontId="59" fillId="6" borderId="65" xfId="0" applyNumberFormat="1" applyFont="1" applyFill="1" applyBorder="1" applyAlignment="1">
      <alignment vertical="center" wrapText="1"/>
    </xf>
    <xf numFmtId="180" fontId="40" fillId="3" borderId="0" xfId="0" applyNumberFormat="1" applyFont="1" applyFill="1" applyBorder="1" applyAlignment="1">
      <alignment horizontal="right" vertical="center"/>
    </xf>
    <xf numFmtId="183" fontId="35" fillId="3" borderId="66" xfId="0" applyNumberFormat="1" applyFont="1" applyFill="1" applyBorder="1" applyAlignment="1">
      <alignment vertical="center"/>
    </xf>
    <xf numFmtId="0" fontId="35" fillId="2" borderId="66" xfId="0" applyFont="1" applyFill="1" applyBorder="1" applyAlignment="1">
      <alignment vertical="center"/>
    </xf>
    <xf numFmtId="185" fontId="15" fillId="14" borderId="0" xfId="0" applyNumberFormat="1" applyFont="1" applyFill="1" applyBorder="1" applyAlignment="1">
      <alignment horizontal="right" vertical="center"/>
    </xf>
    <xf numFmtId="0" fontId="15" fillId="3" borderId="0" xfId="0" applyFont="1" applyFill="1" applyAlignment="1">
      <alignment horizontal="left" vertical="center" wrapText="1"/>
    </xf>
    <xf numFmtId="0" fontId="36" fillId="3" borderId="0" xfId="0" applyFont="1" applyFill="1" applyAlignment="1">
      <alignment horizontal="left"/>
    </xf>
    <xf numFmtId="0" fontId="11" fillId="3" borderId="0" xfId="0" applyFont="1" applyFill="1" applyBorder="1" applyAlignment="1">
      <alignment horizontal="left" vertical="top" wrapText="1"/>
    </xf>
    <xf numFmtId="0" fontId="36" fillId="3" borderId="0" xfId="0" applyFont="1" applyFill="1" applyAlignment="1">
      <alignment horizontal="left" vertical="top" wrapText="1"/>
    </xf>
    <xf numFmtId="0" fontId="2" fillId="3" borderId="24" xfId="0" applyFont="1" applyFill="1" applyBorder="1" applyAlignment="1">
      <alignment vertical="center" wrapText="1"/>
    </xf>
    <xf numFmtId="0" fontId="48" fillId="3" borderId="4" xfId="0" applyFont="1" applyFill="1" applyBorder="1" applyAlignment="1">
      <alignment horizontal="left" vertical="center"/>
    </xf>
    <xf numFmtId="0" fontId="59" fillId="6" borderId="65" xfId="0" applyFont="1" applyFill="1" applyBorder="1" applyAlignment="1">
      <alignment vertical="center" wrapText="1"/>
    </xf>
    <xf numFmtId="186" fontId="26" fillId="3" borderId="22" xfId="0" applyNumberFormat="1" applyFont="1" applyFill="1" applyBorder="1" applyAlignment="1">
      <alignment vertical="center" wrapText="1"/>
    </xf>
    <xf numFmtId="186" fontId="26" fillId="3" borderId="24" xfId="0" applyNumberFormat="1" applyFont="1" applyFill="1" applyBorder="1" applyAlignment="1">
      <alignment vertical="center" wrapText="1"/>
    </xf>
    <xf numFmtId="186" fontId="31" fillId="3" borderId="22" xfId="0" applyNumberFormat="1" applyFont="1" applyFill="1" applyBorder="1" applyAlignment="1">
      <alignment vertical="center" wrapText="1"/>
    </xf>
    <xf numFmtId="186" fontId="31" fillId="3" borderId="23" xfId="0" applyNumberFormat="1" applyFont="1" applyFill="1" applyBorder="1" applyAlignment="1">
      <alignment vertical="center" wrapText="1"/>
    </xf>
    <xf numFmtId="186" fontId="31" fillId="3" borderId="24" xfId="0" applyNumberFormat="1" applyFont="1" applyFill="1" applyBorder="1" applyAlignment="1">
      <alignment vertical="center" wrapText="1"/>
    </xf>
    <xf numFmtId="186" fontId="31" fillId="3" borderId="23" xfId="0" applyNumberFormat="1" applyFont="1" applyFill="1" applyBorder="1" applyAlignment="1">
      <alignment wrapText="1"/>
    </xf>
    <xf numFmtId="186" fontId="31" fillId="3" borderId="23" xfId="0" applyNumberFormat="1" applyFont="1" applyFill="1" applyBorder="1" applyAlignment="1">
      <alignment horizontal="left" vertical="center" wrapText="1"/>
    </xf>
    <xf numFmtId="186" fontId="64" fillId="3" borderId="23" xfId="0" applyNumberFormat="1" applyFont="1" applyFill="1" applyBorder="1" applyAlignment="1">
      <alignment vertical="center" wrapText="1"/>
    </xf>
    <xf numFmtId="186" fontId="190" fillId="3" borderId="22" xfId="0" applyNumberFormat="1" applyFont="1" applyFill="1" applyBorder="1" applyAlignment="1">
      <alignment vertical="center" wrapText="1"/>
    </xf>
    <xf numFmtId="186" fontId="31" fillId="0" borderId="23" xfId="0" applyNumberFormat="1" applyFont="1" applyFill="1" applyBorder="1" applyAlignment="1">
      <alignment vertical="center" wrapText="1"/>
    </xf>
    <xf numFmtId="186" fontId="31" fillId="0" borderId="24" xfId="0" applyNumberFormat="1" applyFont="1" applyFill="1" applyBorder="1" applyAlignment="1">
      <alignment vertical="center" wrapText="1"/>
    </xf>
    <xf numFmtId="186" fontId="190" fillId="3" borderId="9" xfId="0" applyNumberFormat="1" applyFont="1" applyFill="1" applyBorder="1" applyAlignment="1">
      <alignment vertical="center" wrapText="1"/>
    </xf>
    <xf numFmtId="186" fontId="28" fillId="3" borderId="23" xfId="0" applyNumberFormat="1" applyFont="1" applyFill="1" applyBorder="1" applyAlignment="1">
      <alignment vertical="center"/>
    </xf>
    <xf numFmtId="0" fontId="59" fillId="6" borderId="9" xfId="0" applyFont="1" applyFill="1" applyBorder="1" applyAlignment="1">
      <alignment vertical="center" wrapText="1"/>
    </xf>
    <xf numFmtId="0" fontId="26" fillId="3" borderId="18" xfId="0" applyFont="1" applyFill="1" applyBorder="1" applyAlignment="1">
      <alignment vertical="center" wrapText="1"/>
    </xf>
    <xf numFmtId="186" fontId="26" fillId="3" borderId="23" xfId="0" applyNumberFormat="1" applyFont="1" applyFill="1" applyBorder="1" applyAlignment="1">
      <alignment vertical="center" wrapText="1"/>
    </xf>
    <xf numFmtId="0" fontId="58" fillId="4" borderId="0" xfId="0" applyFont="1" applyFill="1" applyBorder="1" applyAlignment="1">
      <alignment horizontal="center" vertical="center" wrapText="1"/>
    </xf>
    <xf numFmtId="0" fontId="58" fillId="4" borderId="3" xfId="0" applyFont="1" applyFill="1" applyBorder="1" applyAlignment="1">
      <alignment horizontal="center" vertical="center" wrapText="1"/>
    </xf>
    <xf numFmtId="0" fontId="58" fillId="4" borderId="10" xfId="0" applyFont="1" applyFill="1" applyBorder="1" applyAlignment="1">
      <alignment horizontal="center" vertical="center" wrapText="1"/>
    </xf>
    <xf numFmtId="0" fontId="15" fillId="3" borderId="0" xfId="0" applyFont="1" applyFill="1" applyAlignment="1">
      <alignment vertical="center" wrapText="1"/>
    </xf>
    <xf numFmtId="186" fontId="15" fillId="0" borderId="0" xfId="0" applyNumberFormat="1" applyFont="1" applyFill="1" applyAlignment="1">
      <alignment vertical="center"/>
    </xf>
    <xf numFmtId="186" fontId="15" fillId="0" borderId="0" xfId="0" applyNumberFormat="1" applyFont="1" applyFill="1" applyBorder="1" applyAlignment="1">
      <alignment horizontal="right" vertical="center"/>
    </xf>
    <xf numFmtId="186" fontId="15" fillId="0" borderId="0" xfId="0" applyNumberFormat="1" applyFont="1" applyFill="1" applyBorder="1" applyAlignment="1">
      <alignment vertical="center"/>
    </xf>
    <xf numFmtId="186" fontId="15" fillId="0" borderId="0" xfId="0" applyNumberFormat="1" applyFont="1" applyAlignment="1">
      <alignment vertical="center"/>
    </xf>
    <xf numFmtId="186" fontId="15" fillId="3" borderId="0" xfId="0" applyNumberFormat="1" applyFont="1" applyFill="1" applyAlignment="1">
      <alignment vertical="center"/>
    </xf>
    <xf numFmtId="186" fontId="15" fillId="3" borderId="0" xfId="0" applyNumberFormat="1" applyFont="1" applyFill="1" applyAlignment="1">
      <alignment horizontal="left" vertical="center" wrapText="1"/>
    </xf>
    <xf numFmtId="186" fontId="15" fillId="0" borderId="0" xfId="0" applyNumberFormat="1" applyFont="1" applyFill="1" applyAlignment="1">
      <alignment horizontal="left" vertical="center" wrapText="1"/>
    </xf>
    <xf numFmtId="186" fontId="26" fillId="3" borderId="3" xfId="0" applyNumberFormat="1" applyFont="1" applyFill="1" applyBorder="1" applyAlignment="1">
      <alignment vertical="center" wrapText="1"/>
    </xf>
    <xf numFmtId="0" fontId="57" fillId="3" borderId="22" xfId="0" applyFont="1" applyFill="1" applyBorder="1" applyAlignment="1">
      <alignment vertical="center" wrapText="1"/>
    </xf>
    <xf numFmtId="0" fontId="59" fillId="6" borderId="22" xfId="0" applyFont="1" applyFill="1" applyBorder="1" applyAlignment="1">
      <alignment vertical="center" wrapText="1"/>
    </xf>
    <xf numFmtId="0" fontId="59" fillId="6" borderId="24" xfId="0" applyFont="1" applyFill="1" applyBorder="1" applyAlignment="1">
      <alignment vertical="center" wrapText="1"/>
    </xf>
    <xf numFmtId="0" fontId="20" fillId="3" borderId="22" xfId="0" applyFont="1" applyFill="1" applyBorder="1" applyAlignment="1">
      <alignment vertical="center" wrapText="1"/>
    </xf>
    <xf numFmtId="0" fontId="20" fillId="3" borderId="24" xfId="0" applyFont="1" applyFill="1" applyBorder="1" applyAlignment="1">
      <alignment vertical="center" wrapText="1"/>
    </xf>
    <xf numFmtId="0" fontId="1" fillId="3" borderId="23" xfId="0" applyFont="1" applyFill="1" applyBorder="1" applyAlignment="1">
      <alignment vertical="center" wrapText="1"/>
    </xf>
    <xf numFmtId="0" fontId="1" fillId="3" borderId="25" xfId="0" applyFont="1" applyFill="1" applyBorder="1" applyAlignment="1">
      <alignment vertical="center" wrapText="1"/>
    </xf>
    <xf numFmtId="0" fontId="1" fillId="3" borderId="24" xfId="0" applyFont="1" applyFill="1" applyBorder="1" applyAlignment="1">
      <alignment vertical="center" wrapText="1"/>
    </xf>
    <xf numFmtId="0" fontId="36" fillId="3" borderId="0" xfId="0" applyFont="1" applyFill="1" applyAlignment="1">
      <alignment vertical="top" wrapText="1"/>
    </xf>
    <xf numFmtId="0" fontId="54" fillId="3" borderId="0" xfId="0" applyFont="1" applyFill="1" applyAlignment="1">
      <alignment horizontal="left" vertical="center"/>
    </xf>
    <xf numFmtId="167" fontId="54" fillId="3" borderId="0" xfId="0" applyNumberFormat="1" applyFont="1" applyFill="1" applyBorder="1" applyAlignment="1">
      <alignment horizontal="right" vertical="center"/>
    </xf>
    <xf numFmtId="0" fontId="26" fillId="3" borderId="22" xfId="0" applyFont="1" applyFill="1" applyBorder="1" applyAlignment="1">
      <alignment vertical="center" wrapText="1"/>
    </xf>
    <xf numFmtId="0" fontId="26" fillId="3" borderId="24" xfId="0" applyFont="1" applyFill="1" applyBorder="1" applyAlignment="1">
      <alignment vertical="center" wrapText="1"/>
    </xf>
    <xf numFmtId="0" fontId="28" fillId="0" borderId="9" xfId="0" applyFont="1" applyFill="1" applyBorder="1" applyAlignment="1">
      <alignment vertical="center"/>
    </xf>
    <xf numFmtId="0" fontId="31" fillId="3" borderId="23" xfId="0" applyFont="1" applyFill="1" applyBorder="1" applyAlignment="1">
      <alignment vertical="center"/>
    </xf>
    <xf numFmtId="0" fontId="54" fillId="3" borderId="23" xfId="0" applyFont="1" applyFill="1" applyBorder="1" applyAlignment="1">
      <alignment horizontal="left" vertical="center"/>
    </xf>
    <xf numFmtId="0" fontId="64" fillId="3" borderId="23" xfId="0" applyFont="1" applyFill="1" applyBorder="1" applyAlignment="1">
      <alignment vertical="center"/>
    </xf>
    <xf numFmtId="0" fontId="31" fillId="0" borderId="23" xfId="0" applyFont="1" applyFill="1" applyBorder="1" applyAlignment="1">
      <alignment vertical="center"/>
    </xf>
    <xf numFmtId="0" fontId="39" fillId="0" borderId="23" xfId="0" applyFont="1" applyFill="1" applyBorder="1" applyAlignment="1">
      <alignment horizontal="left" vertical="center" indent="3"/>
    </xf>
    <xf numFmtId="0" fontId="39" fillId="3" borderId="23" xfId="0" applyFont="1" applyFill="1" applyBorder="1" applyAlignment="1">
      <alignment horizontal="left" vertical="center" indent="3"/>
    </xf>
    <xf numFmtId="0" fontId="28" fillId="6" borderId="9" xfId="0" applyFont="1" applyFill="1" applyBorder="1" applyAlignment="1">
      <alignment vertical="center" wrapText="1"/>
    </xf>
    <xf numFmtId="0" fontId="30" fillId="4" borderId="25" xfId="0" applyFont="1" applyFill="1" applyBorder="1" applyAlignment="1">
      <alignment horizontal="left" vertical="center"/>
    </xf>
    <xf numFmtId="0" fontId="28" fillId="0" borderId="8" xfId="0" applyFont="1" applyFill="1" applyBorder="1" applyAlignment="1">
      <alignment vertical="center"/>
    </xf>
    <xf numFmtId="0" fontId="30" fillId="3" borderId="23" xfId="0" applyFont="1" applyFill="1" applyBorder="1" applyAlignment="1">
      <alignment horizontal="left" vertical="center"/>
    </xf>
    <xf numFmtId="0" fontId="30" fillId="13" borderId="28" xfId="0" applyFont="1" applyFill="1" applyBorder="1" applyAlignment="1">
      <alignment horizontal="right" vertical="center"/>
    </xf>
    <xf numFmtId="0" fontId="30" fillId="4" borderId="27" xfId="0" applyFont="1" applyFill="1" applyBorder="1" applyAlignment="1">
      <alignment horizontal="right" vertical="center" wrapText="1"/>
    </xf>
    <xf numFmtId="0" fontId="54" fillId="3" borderId="0" xfId="0" applyFont="1" applyFill="1" applyBorder="1"/>
    <xf numFmtId="0" fontId="54" fillId="3" borderId="0" xfId="0" applyFont="1" applyFill="1" applyAlignment="1">
      <alignment vertical="center" wrapText="1"/>
    </xf>
    <xf numFmtId="0" fontId="54" fillId="3" borderId="0" xfId="0" applyFont="1" applyFill="1" applyAlignment="1">
      <alignment horizontal="left" vertical="center" wrapText="1"/>
    </xf>
    <xf numFmtId="0" fontId="54" fillId="0" borderId="0" xfId="0" applyFont="1" applyFill="1" applyAlignment="1">
      <alignment horizontal="left" vertical="center" wrapText="1"/>
    </xf>
    <xf numFmtId="0" fontId="26" fillId="3" borderId="9" xfId="0" applyFont="1" applyFill="1" applyBorder="1" applyAlignment="1">
      <alignment vertical="center"/>
    </xf>
    <xf numFmtId="0" fontId="15" fillId="3" borderId="23" xfId="0" applyFont="1" applyFill="1" applyBorder="1" applyAlignment="1">
      <alignment vertical="center"/>
    </xf>
    <xf numFmtId="0" fontId="38" fillId="3" borderId="23" xfId="0" applyFont="1" applyFill="1" applyBorder="1" applyAlignment="1">
      <alignment vertical="center"/>
    </xf>
    <xf numFmtId="0" fontId="15" fillId="0" borderId="23" xfId="0" applyFont="1" applyFill="1" applyBorder="1" applyAlignment="1">
      <alignment vertical="center"/>
    </xf>
    <xf numFmtId="0" fontId="38" fillId="0" borderId="23" xfId="0" applyFont="1" applyFill="1" applyBorder="1" applyAlignment="1">
      <alignment vertical="center"/>
    </xf>
    <xf numFmtId="0" fontId="38" fillId="3" borderId="23" xfId="0" applyFont="1" applyFill="1" applyBorder="1" applyAlignment="1">
      <alignment vertical="center" wrapText="1"/>
    </xf>
    <xf numFmtId="0" fontId="27" fillId="3" borderId="68" xfId="0" applyFont="1" applyFill="1" applyBorder="1" applyAlignment="1">
      <alignment vertical="center"/>
    </xf>
    <xf numFmtId="0" fontId="15" fillId="3" borderId="23" xfId="0" applyFont="1" applyFill="1" applyBorder="1" applyAlignment="1">
      <alignment vertical="center" wrapText="1"/>
    </xf>
    <xf numFmtId="0" fontId="22" fillId="3" borderId="3" xfId="0" applyFont="1" applyFill="1" applyBorder="1" applyAlignment="1">
      <alignment horizontal="left" vertical="center"/>
    </xf>
    <xf numFmtId="0" fontId="48" fillId="3" borderId="5" xfId="0" applyFont="1" applyFill="1" applyBorder="1" applyAlignment="1">
      <alignment horizontal="left" vertical="center" wrapText="1"/>
    </xf>
    <xf numFmtId="0" fontId="11" fillId="3" borderId="0" xfId="0" applyFont="1" applyFill="1" applyBorder="1" applyAlignment="1">
      <alignment vertical="top" wrapText="1"/>
    </xf>
    <xf numFmtId="0" fontId="11" fillId="0" borderId="0" xfId="0" applyFont="1" applyBorder="1" applyAlignment="1">
      <alignment vertical="center" wrapText="1"/>
    </xf>
    <xf numFmtId="0" fontId="11" fillId="0" borderId="0" xfId="0" applyFont="1" applyBorder="1" applyAlignment="1">
      <alignment horizontal="left" vertical="top" wrapText="1"/>
    </xf>
    <xf numFmtId="0" fontId="1" fillId="3" borderId="0" xfId="0" applyFont="1" applyFill="1" applyBorder="1" applyAlignment="1">
      <alignment vertical="center"/>
    </xf>
    <xf numFmtId="0" fontId="1" fillId="3" borderId="0" xfId="0" applyFont="1" applyFill="1" applyAlignment="1">
      <alignment vertical="center"/>
    </xf>
    <xf numFmtId="0" fontId="1" fillId="0" borderId="0" xfId="0" applyFont="1" applyAlignment="1">
      <alignment vertical="center"/>
    </xf>
    <xf numFmtId="0" fontId="53" fillId="5" borderId="5" xfId="0" applyFont="1" applyFill="1" applyBorder="1" applyAlignment="1">
      <alignment horizontal="right" vertical="center" wrapText="1"/>
    </xf>
    <xf numFmtId="0" fontId="53" fillId="5" borderId="18" xfId="0" applyFont="1" applyFill="1" applyBorder="1" applyAlignment="1">
      <alignment horizontal="right" vertical="center"/>
    </xf>
    <xf numFmtId="0" fontId="20" fillId="4" borderId="18" xfId="0" applyFont="1" applyFill="1" applyBorder="1" applyAlignment="1">
      <alignment horizontal="right" vertical="center" wrapText="1"/>
    </xf>
    <xf numFmtId="0" fontId="53" fillId="5" borderId="4" xfId="0" applyFont="1" applyFill="1" applyBorder="1" applyAlignment="1">
      <alignment horizontal="right" vertical="center" wrapText="1"/>
    </xf>
    <xf numFmtId="0" fontId="53" fillId="5" borderId="65" xfId="0" applyFont="1" applyFill="1" applyBorder="1" applyAlignment="1">
      <alignment horizontal="right" vertical="center"/>
    </xf>
    <xf numFmtId="0" fontId="20" fillId="4" borderId="65" xfId="0" applyFont="1" applyFill="1" applyBorder="1" applyAlignment="1">
      <alignment horizontal="right" vertical="center" wrapText="1"/>
    </xf>
    <xf numFmtId="0" fontId="15" fillId="3" borderId="0" xfId="0" applyFont="1" applyFill="1" applyAlignment="1">
      <alignment horizontal="left" vertical="center" wrapText="1"/>
    </xf>
    <xf numFmtId="0" fontId="58" fillId="4" borderId="17" xfId="0" applyFont="1" applyFill="1" applyBorder="1" applyAlignment="1">
      <alignment horizontal="center" vertical="center" wrapText="1"/>
    </xf>
    <xf numFmtId="0" fontId="58" fillId="4" borderId="20" xfId="0" applyFont="1" applyFill="1" applyBorder="1" applyAlignment="1">
      <alignment horizontal="center" vertical="center" wrapText="1"/>
    </xf>
    <xf numFmtId="0" fontId="58" fillId="4" borderId="21" xfId="0" applyFont="1" applyFill="1" applyBorder="1" applyAlignment="1">
      <alignment horizontal="center" vertical="center" wrapText="1"/>
    </xf>
    <xf numFmtId="0" fontId="58" fillId="4" borderId="4" xfId="0" applyFont="1" applyFill="1" applyBorder="1" applyAlignment="1">
      <alignment horizontal="center" vertical="center" wrapText="1"/>
    </xf>
    <xf numFmtId="0" fontId="58" fillId="4" borderId="11" xfId="0" applyFont="1" applyFill="1" applyBorder="1" applyAlignment="1">
      <alignment horizontal="center" vertical="center" wrapText="1"/>
    </xf>
    <xf numFmtId="0" fontId="58" fillId="4" borderId="12" xfId="0" applyFont="1" applyFill="1" applyBorder="1" applyAlignment="1">
      <alignment horizontal="center" vertical="center" wrapText="1"/>
    </xf>
    <xf numFmtId="0" fontId="15" fillId="0" borderId="0" xfId="0" applyFont="1" applyFill="1" applyAlignment="1">
      <alignment horizontal="left" vertical="center" wrapText="1"/>
    </xf>
    <xf numFmtId="0" fontId="58" fillId="4" borderId="65" xfId="0" applyFont="1" applyFill="1" applyBorder="1" applyAlignment="1">
      <alignment horizontal="center" vertical="center" wrapText="1"/>
    </xf>
    <xf numFmtId="0" fontId="186" fillId="4" borderId="17" xfId="0" applyFont="1" applyFill="1" applyBorder="1" applyAlignment="1">
      <alignment horizontal="center" vertical="center" wrapText="1"/>
    </xf>
    <xf numFmtId="0" fontId="186" fillId="4" borderId="20" xfId="0" applyFont="1" applyFill="1" applyBorder="1" applyAlignment="1">
      <alignment horizontal="center" vertical="center" wrapText="1"/>
    </xf>
    <xf numFmtId="0" fontId="186" fillId="4" borderId="21" xfId="0" applyFont="1" applyFill="1" applyBorder="1" applyAlignment="1">
      <alignment horizontal="center" vertical="center" wrapText="1"/>
    </xf>
    <xf numFmtId="0" fontId="58" fillId="4" borderId="13" xfId="0" applyFont="1" applyFill="1" applyBorder="1" applyAlignment="1">
      <alignment horizontal="center" vertical="center" wrapText="1"/>
    </xf>
    <xf numFmtId="0" fontId="58" fillId="4" borderId="47" xfId="0" applyFont="1" applyFill="1" applyBorder="1" applyAlignment="1">
      <alignment horizontal="center" vertical="center" wrapText="1"/>
    </xf>
    <xf numFmtId="0" fontId="58" fillId="4" borderId="67" xfId="0" applyFont="1" applyFill="1" applyBorder="1" applyAlignment="1">
      <alignment horizontal="center" vertical="center" wrapText="1"/>
    </xf>
    <xf numFmtId="0" fontId="186" fillId="4" borderId="13" xfId="0" applyFont="1" applyFill="1" applyBorder="1" applyAlignment="1">
      <alignment horizontal="center" vertical="center" wrapText="1"/>
    </xf>
    <xf numFmtId="0" fontId="186" fillId="4" borderId="47" xfId="0" applyFont="1" applyFill="1" applyBorder="1" applyAlignment="1">
      <alignment horizontal="center" vertical="center" wrapText="1"/>
    </xf>
    <xf numFmtId="0" fontId="186" fillId="4" borderId="67" xfId="0" applyFont="1" applyFill="1" applyBorder="1" applyAlignment="1">
      <alignment horizontal="center" vertical="center" wrapText="1"/>
    </xf>
    <xf numFmtId="0" fontId="20" fillId="4" borderId="4" xfId="0" applyFont="1" applyFill="1" applyBorder="1" applyAlignment="1">
      <alignment horizontal="center" vertical="center" wrapText="1"/>
    </xf>
    <xf numFmtId="0" fontId="20" fillId="4" borderId="65" xfId="0" applyFont="1" applyFill="1" applyBorder="1" applyAlignment="1">
      <alignment horizontal="center" vertical="center" wrapText="1"/>
    </xf>
    <xf numFmtId="0" fontId="20" fillId="4" borderId="69" xfId="0" applyFont="1" applyFill="1" applyBorder="1" applyAlignment="1">
      <alignment horizontal="center" vertical="center" wrapText="1"/>
    </xf>
    <xf numFmtId="0" fontId="194" fillId="4" borderId="69" xfId="0" applyFont="1" applyFill="1" applyBorder="1" applyAlignment="1">
      <alignment horizontal="center" vertical="center" wrapText="1"/>
    </xf>
    <xf numFmtId="0" fontId="194" fillId="4" borderId="19" xfId="0" applyFont="1" applyFill="1" applyBorder="1" applyAlignment="1">
      <alignment horizontal="center" vertical="center" wrapText="1"/>
    </xf>
    <xf numFmtId="0" fontId="20" fillId="4" borderId="5" xfId="0" applyFont="1" applyFill="1" applyBorder="1" applyAlignment="1">
      <alignment horizontal="center" vertical="center" wrapText="1"/>
    </xf>
    <xf numFmtId="0" fontId="20" fillId="4" borderId="18" xfId="0" applyFont="1" applyFill="1" applyBorder="1" applyAlignment="1">
      <alignment horizontal="center" vertical="center" wrapText="1"/>
    </xf>
    <xf numFmtId="0" fontId="20" fillId="4" borderId="19" xfId="0" applyFont="1" applyFill="1" applyBorder="1" applyAlignment="1">
      <alignment horizontal="center" vertical="center" wrapText="1"/>
    </xf>
    <xf numFmtId="0" fontId="18" fillId="0" borderId="17" xfId="0" applyFont="1" applyBorder="1" applyAlignment="1">
      <alignment horizontal="center" vertical="center" wrapText="1"/>
    </xf>
    <xf numFmtId="0" fontId="18" fillId="0" borderId="20" xfId="0" applyFont="1" applyBorder="1" applyAlignment="1">
      <alignment horizontal="center" vertical="center" wrapText="1"/>
    </xf>
    <xf numFmtId="0" fontId="18" fillId="0" borderId="21" xfId="0" applyFont="1" applyBorder="1" applyAlignment="1">
      <alignment horizontal="center" vertical="center" wrapText="1"/>
    </xf>
    <xf numFmtId="0" fontId="18" fillId="0" borderId="26" xfId="0" applyFont="1" applyBorder="1" applyAlignment="1">
      <alignment horizontal="center" vertical="center" wrapText="1"/>
    </xf>
    <xf numFmtId="0" fontId="18" fillId="0" borderId="27" xfId="0" applyFont="1" applyBorder="1" applyAlignment="1">
      <alignment horizontal="center" vertical="center" wrapText="1"/>
    </xf>
    <xf numFmtId="0" fontId="18" fillId="0" borderId="28" xfId="0" applyFont="1" applyBorder="1" applyAlignment="1">
      <alignment horizontal="center" vertical="center" wrapText="1"/>
    </xf>
    <xf numFmtId="0" fontId="28" fillId="4" borderId="20" xfId="0" applyFont="1" applyFill="1" applyBorder="1" applyAlignment="1">
      <alignment horizontal="center" vertical="center" wrapText="1"/>
    </xf>
    <xf numFmtId="0" fontId="28" fillId="4" borderId="21" xfId="0" applyFont="1" applyFill="1" applyBorder="1" applyAlignment="1">
      <alignment horizontal="center" vertical="center" wrapText="1"/>
    </xf>
    <xf numFmtId="0" fontId="28" fillId="4" borderId="17" xfId="0" applyFont="1" applyFill="1" applyBorder="1" applyAlignment="1">
      <alignment horizontal="center" vertical="center" wrapText="1"/>
    </xf>
    <xf numFmtId="0" fontId="28" fillId="4" borderId="11" xfId="0" applyFont="1" applyFill="1" applyBorder="1" applyAlignment="1">
      <alignment horizontal="center" vertical="center" wrapText="1"/>
    </xf>
    <xf numFmtId="0" fontId="28" fillId="4" borderId="12" xfId="0" applyFont="1" applyFill="1" applyBorder="1" applyAlignment="1">
      <alignment horizontal="center" vertical="center" wrapText="1"/>
    </xf>
    <xf numFmtId="0" fontId="28" fillId="4" borderId="20" xfId="0" applyFont="1" applyFill="1" applyBorder="1" applyAlignment="1">
      <alignment horizontal="center" vertical="center"/>
    </xf>
    <xf numFmtId="0" fontId="28" fillId="4" borderId="21" xfId="0" applyFont="1" applyFill="1" applyBorder="1" applyAlignment="1">
      <alignment horizontal="center" vertical="center"/>
    </xf>
    <xf numFmtId="0" fontId="28" fillId="4" borderId="4" xfId="0" applyFont="1" applyFill="1" applyBorder="1" applyAlignment="1">
      <alignment horizontal="center" vertical="center" wrapText="1"/>
    </xf>
    <xf numFmtId="0" fontId="23" fillId="4" borderId="6" xfId="0" applyFont="1" applyFill="1" applyBorder="1" applyAlignment="1">
      <alignment horizontal="center" vertical="center" wrapText="1"/>
    </xf>
    <xf numFmtId="0" fontId="23" fillId="4" borderId="7" xfId="0" applyFont="1" applyFill="1" applyBorder="1" applyAlignment="1">
      <alignment horizontal="center" vertical="center" wrapText="1"/>
    </xf>
    <xf numFmtId="0" fontId="23" fillId="16" borderId="12" xfId="0" applyFont="1" applyFill="1" applyBorder="1" applyAlignment="1">
      <alignment horizontal="center" vertical="center" wrapText="1"/>
    </xf>
    <xf numFmtId="0" fontId="23" fillId="16" borderId="19" xfId="0" applyFont="1" applyFill="1" applyBorder="1" applyAlignment="1">
      <alignment horizontal="center" vertical="center" wrapText="1"/>
    </xf>
    <xf numFmtId="0" fontId="22" fillId="3" borderId="22" xfId="0" applyFont="1" applyFill="1" applyBorder="1" applyAlignment="1">
      <alignment horizontal="left" vertical="center" wrapText="1"/>
    </xf>
    <xf numFmtId="0" fontId="22" fillId="3" borderId="24" xfId="0" applyFont="1" applyFill="1" applyBorder="1" applyAlignment="1">
      <alignment horizontal="left" vertical="center" wrapText="1"/>
    </xf>
    <xf numFmtId="0" fontId="23" fillId="0" borderId="0" xfId="0" applyFont="1" applyFill="1" applyAlignment="1">
      <alignment horizontal="left" vertical="top" wrapText="1"/>
    </xf>
  </cellXfs>
  <cellStyles count="42851">
    <cellStyle name="%" xfId="21"/>
    <cellStyle name="% 2" xfId="22"/>
    <cellStyle name=",000" xfId="23"/>
    <cellStyle name="_6440_Tax" xfId="24"/>
    <cellStyle name="=D:\WINNT\SYSTEM32\COMMAND.COM" xfId="25"/>
    <cellStyle name="0" xfId="26"/>
    <cellStyle name="0,0" xfId="27"/>
    <cellStyle name="0,00" xfId="28"/>
    <cellStyle name="0_BP2" xfId="29"/>
    <cellStyle name="0_BP3" xfId="30"/>
    <cellStyle name="0_BP3_Financial Statements_01_2010" xfId="31"/>
    <cellStyle name="0_BP3_Financial Statements_02_2010" xfId="32"/>
    <cellStyle name="0_BP3_Financial Statements_12_2009_NewBud" xfId="33"/>
    <cellStyle name="1000-sep_Ark1" xfId="34"/>
    <cellStyle name="1000-sep+,00_Slideshow" xfId="35"/>
    <cellStyle name="20% - 1. jelölőszín" xfId="36"/>
    <cellStyle name="20% - 2. jelölőszín" xfId="37"/>
    <cellStyle name="20% - 3. jelölőszín" xfId="38"/>
    <cellStyle name="20% - 4. jelölőszín" xfId="39"/>
    <cellStyle name="20% - 5. jelölőszín" xfId="40"/>
    <cellStyle name="20% - akcent 1 10" xfId="41"/>
    <cellStyle name="20% - akcent 1 100" xfId="42"/>
    <cellStyle name="20% - akcent 1 100 2" xfId="43"/>
    <cellStyle name="20% - akcent 1 101" xfId="44"/>
    <cellStyle name="20% - akcent 1 101 2" xfId="45"/>
    <cellStyle name="20% - akcent 1 102" xfId="46"/>
    <cellStyle name="20% - akcent 1 102 2" xfId="47"/>
    <cellStyle name="20% - akcent 1 103" xfId="48"/>
    <cellStyle name="20% - akcent 1 103 2" xfId="49"/>
    <cellStyle name="20% - akcent 1 104" xfId="50"/>
    <cellStyle name="20% - akcent 1 104 2" xfId="51"/>
    <cellStyle name="20% - akcent 1 105" xfId="52"/>
    <cellStyle name="20% - akcent 1 105 2" xfId="53"/>
    <cellStyle name="20% - akcent 1 106" xfId="54"/>
    <cellStyle name="20% - akcent 1 106 2" xfId="55"/>
    <cellStyle name="20% - akcent 1 107" xfId="56"/>
    <cellStyle name="20% - akcent 1 107 2" xfId="57"/>
    <cellStyle name="20% - akcent 1 108" xfId="58"/>
    <cellStyle name="20% - akcent 1 108 2" xfId="59"/>
    <cellStyle name="20% - akcent 1 109" xfId="60"/>
    <cellStyle name="20% - akcent 1 109 2" xfId="61"/>
    <cellStyle name="20% - akcent 1 11" xfId="62"/>
    <cellStyle name="20% - akcent 1 110" xfId="63"/>
    <cellStyle name="20% - akcent 1 110 2" xfId="64"/>
    <cellStyle name="20% - akcent 1 111" xfId="65"/>
    <cellStyle name="20% - akcent 1 111 2" xfId="66"/>
    <cellStyle name="20% - akcent 1 112" xfId="67"/>
    <cellStyle name="20% - akcent 1 112 2" xfId="68"/>
    <cellStyle name="20% - akcent 1 113" xfId="69"/>
    <cellStyle name="20% - akcent 1 113 2" xfId="70"/>
    <cellStyle name="20% - akcent 1 114" xfId="71"/>
    <cellStyle name="20% - akcent 1 114 2" xfId="72"/>
    <cellStyle name="20% - akcent 1 115" xfId="73"/>
    <cellStyle name="20% - akcent 1 115 2" xfId="74"/>
    <cellStyle name="20% - akcent 1 116" xfId="75"/>
    <cellStyle name="20% - akcent 1 116 2" xfId="76"/>
    <cellStyle name="20% - akcent 1 117" xfId="77"/>
    <cellStyle name="20% - akcent 1 117 2" xfId="78"/>
    <cellStyle name="20% - akcent 1 118" xfId="79"/>
    <cellStyle name="20% - akcent 1 118 2" xfId="80"/>
    <cellStyle name="20% - akcent 1 119" xfId="81"/>
    <cellStyle name="20% - akcent 1 119 2" xfId="82"/>
    <cellStyle name="20% - akcent 1 12" xfId="83"/>
    <cellStyle name="20% - akcent 1 120" xfId="84"/>
    <cellStyle name="20% - akcent 1 121" xfId="85"/>
    <cellStyle name="20% - akcent 1 13" xfId="86"/>
    <cellStyle name="20% - akcent 1 14" xfId="87"/>
    <cellStyle name="20% - akcent 1 15" xfId="88"/>
    <cellStyle name="20% - akcent 1 16" xfId="89"/>
    <cellStyle name="20% - akcent 1 17" xfId="90"/>
    <cellStyle name="20% - akcent 1 18" xfId="91"/>
    <cellStyle name="20% - akcent 1 19" xfId="92"/>
    <cellStyle name="20% - akcent 1 2" xfId="93"/>
    <cellStyle name="20% - akcent 1 2 2" xfId="94"/>
    <cellStyle name="20% - akcent 1 2 22" xfId="95"/>
    <cellStyle name="20% - akcent 1 2 22 2" xfId="96"/>
    <cellStyle name="20% - akcent 1 2 22 3" xfId="97"/>
    <cellStyle name="20% - akcent 1 2 22 4" xfId="98"/>
    <cellStyle name="20% - akcent 1 2 22 5" xfId="99"/>
    <cellStyle name="20% - akcent 1 2 22 6" xfId="100"/>
    <cellStyle name="20% - akcent 1 2 23" xfId="101"/>
    <cellStyle name="20% - akcent 1 2 23 2" xfId="102"/>
    <cellStyle name="20% - akcent 1 2 23 3" xfId="103"/>
    <cellStyle name="20% - akcent 1 2 23 4" xfId="104"/>
    <cellStyle name="20% - akcent 1 2 23 5" xfId="105"/>
    <cellStyle name="20% - akcent 1 2 23 6" xfId="106"/>
    <cellStyle name="20% - akcent 1 2 24" xfId="107"/>
    <cellStyle name="20% - akcent 1 2 24 2" xfId="108"/>
    <cellStyle name="20% - akcent 1 2 24 3" xfId="109"/>
    <cellStyle name="20% - akcent 1 2 24 4" xfId="110"/>
    <cellStyle name="20% - akcent 1 2 24 5" xfId="111"/>
    <cellStyle name="20% - akcent 1 2 24 6" xfId="112"/>
    <cellStyle name="20% - akcent 1 2 25" xfId="113"/>
    <cellStyle name="20% - akcent 1 2 25 2" xfId="114"/>
    <cellStyle name="20% - akcent 1 2 25 3" xfId="115"/>
    <cellStyle name="20% - akcent 1 2 25 4" xfId="116"/>
    <cellStyle name="20% - akcent 1 2 25 5" xfId="117"/>
    <cellStyle name="20% - akcent 1 2 25 6" xfId="118"/>
    <cellStyle name="20% - akcent 1 2 26" xfId="119"/>
    <cellStyle name="20% - akcent 1 2 26 2" xfId="120"/>
    <cellStyle name="20% - akcent 1 2 26 3" xfId="121"/>
    <cellStyle name="20% - akcent 1 2 26 4" xfId="122"/>
    <cellStyle name="20% - akcent 1 2 26 5" xfId="123"/>
    <cellStyle name="20% - akcent 1 2 26 6" xfId="124"/>
    <cellStyle name="20% - akcent 1 2 27" xfId="125"/>
    <cellStyle name="20% - akcent 1 2 27 2" xfId="126"/>
    <cellStyle name="20% - akcent 1 2 27 3" xfId="127"/>
    <cellStyle name="20% - akcent 1 2 27 4" xfId="128"/>
    <cellStyle name="20% - akcent 1 2 27 5" xfId="129"/>
    <cellStyle name="20% - akcent 1 2 27 6" xfId="130"/>
    <cellStyle name="20% - akcent 1 2 28" xfId="131"/>
    <cellStyle name="20% - akcent 1 2 28 2" xfId="132"/>
    <cellStyle name="20% - akcent 1 2 28 3" xfId="133"/>
    <cellStyle name="20% - akcent 1 2 28 4" xfId="134"/>
    <cellStyle name="20% - akcent 1 2 28 5" xfId="135"/>
    <cellStyle name="20% - akcent 1 2 28 6" xfId="136"/>
    <cellStyle name="20% - akcent 1 2 29" xfId="137"/>
    <cellStyle name="20% - akcent 1 2 29 2" xfId="138"/>
    <cellStyle name="20% - akcent 1 2 3" xfId="139"/>
    <cellStyle name="20% - akcent 1 2 3 2" xfId="140"/>
    <cellStyle name="20% - akcent 1 2 3 3" xfId="141"/>
    <cellStyle name="20% - akcent 1 2 3 4" xfId="142"/>
    <cellStyle name="20% - akcent 1 2 3 5" xfId="143"/>
    <cellStyle name="20% - akcent 1 2 3 6" xfId="144"/>
    <cellStyle name="20% - akcent 1 2 3 7" xfId="145"/>
    <cellStyle name="20% - akcent 1 2 30" xfId="146"/>
    <cellStyle name="20% - akcent 1 2 30 2" xfId="147"/>
    <cellStyle name="20% - akcent 1 2 31" xfId="148"/>
    <cellStyle name="20% - akcent 1 2 31 2" xfId="149"/>
    <cellStyle name="20% - akcent 1 2 32" xfId="150"/>
    <cellStyle name="20% - akcent 1 2 32 2" xfId="151"/>
    <cellStyle name="20% - akcent 1 2 33" xfId="152"/>
    <cellStyle name="20% - akcent 1 2 34" xfId="153"/>
    <cellStyle name="20% - akcent 1 2 35" xfId="154"/>
    <cellStyle name="20% - akcent 1 2 36" xfId="155"/>
    <cellStyle name="20% - akcent 1 2 37" xfId="156"/>
    <cellStyle name="20% - akcent 1 2 38" xfId="157"/>
    <cellStyle name="20% - akcent 1 2 39" xfId="158"/>
    <cellStyle name="20% - akcent 1 2 4" xfId="159"/>
    <cellStyle name="20% - akcent 1 2 4 2" xfId="160"/>
    <cellStyle name="20% - akcent 1 2 4 3" xfId="161"/>
    <cellStyle name="20% - akcent 1 2 4 4" xfId="162"/>
    <cellStyle name="20% - akcent 1 2 4 5" xfId="163"/>
    <cellStyle name="20% - akcent 1 2 4 6" xfId="164"/>
    <cellStyle name="20% - akcent 1 2 4 7" xfId="165"/>
    <cellStyle name="20% - akcent 1 2 48" xfId="166"/>
    <cellStyle name="20% - akcent 1 2 49" xfId="167"/>
    <cellStyle name="20% - akcent 1 2 5" xfId="168"/>
    <cellStyle name="20% - akcent 1 2 5 3" xfId="169"/>
    <cellStyle name="20% - akcent 1 2 5 4" xfId="170"/>
    <cellStyle name="20% - akcent 1 2 5 5" xfId="171"/>
    <cellStyle name="20% - akcent 1 2 5 6" xfId="172"/>
    <cellStyle name="20% - akcent 1 2 50" xfId="173"/>
    <cellStyle name="20% - akcent 1 2 51" xfId="174"/>
    <cellStyle name="20% - akcent 1 2 6" xfId="175"/>
    <cellStyle name="20% - akcent 1 2 6 2" xfId="176"/>
    <cellStyle name="20% - akcent 1 2 6 3" xfId="177"/>
    <cellStyle name="20% - akcent 1 2 6 4" xfId="178"/>
    <cellStyle name="20% - akcent 1 2 6 5" xfId="179"/>
    <cellStyle name="20% - akcent 1 2 6 6" xfId="180"/>
    <cellStyle name="20% - akcent 1 2 7" xfId="181"/>
    <cellStyle name="20% - akcent 1 2 7 2" xfId="182"/>
    <cellStyle name="20% - akcent 1 2 7 3" xfId="183"/>
    <cellStyle name="20% - akcent 1 2 7 4" xfId="184"/>
    <cellStyle name="20% - akcent 1 2 7 5" xfId="185"/>
    <cellStyle name="20% - akcent 1 2 7 6" xfId="186"/>
    <cellStyle name="20% - akcent 1 2 8" xfId="187"/>
    <cellStyle name="20% - akcent 1 2 8 2" xfId="188"/>
    <cellStyle name="20% - akcent 1 2 8 3" xfId="189"/>
    <cellStyle name="20% - akcent 1 2 8 4" xfId="190"/>
    <cellStyle name="20% - akcent 1 2 8 5" xfId="191"/>
    <cellStyle name="20% - akcent 1 2 8 6" xfId="192"/>
    <cellStyle name="20% - akcent 1 2 9" xfId="193"/>
    <cellStyle name="20% - akcent 1 2 9 2" xfId="194"/>
    <cellStyle name="20% - akcent 1 2 9 3" xfId="195"/>
    <cellStyle name="20% - akcent 1 2 9 4" xfId="196"/>
    <cellStyle name="20% - akcent 1 2 9 5" xfId="197"/>
    <cellStyle name="20% - akcent 1 2 9 6" xfId="198"/>
    <cellStyle name="20% - akcent 1 20" xfId="199"/>
    <cellStyle name="20% - akcent 1 21" xfId="200"/>
    <cellStyle name="20% - akcent 1 22" xfId="201"/>
    <cellStyle name="20% - akcent 1 23" xfId="202"/>
    <cellStyle name="20% - akcent 1 24" xfId="203"/>
    <cellStyle name="20% - akcent 1 25" xfId="204"/>
    <cellStyle name="20% - akcent 1 26" xfId="205"/>
    <cellStyle name="20% - akcent 1 27" xfId="206"/>
    <cellStyle name="20% - akcent 1 28" xfId="207"/>
    <cellStyle name="20% - akcent 1 29" xfId="208"/>
    <cellStyle name="20% - akcent 1 3" xfId="209"/>
    <cellStyle name="20% - akcent 1 3 2" xfId="210"/>
    <cellStyle name="20% - akcent 1 3 2 2" xfId="211"/>
    <cellStyle name="20% - akcent 1 3 3" xfId="212"/>
    <cellStyle name="20% - akcent 1 3 3 2" xfId="213"/>
    <cellStyle name="20% - akcent 1 3 4" xfId="214"/>
    <cellStyle name="20% - akcent 1 3 4 2" xfId="215"/>
    <cellStyle name="20% - akcent 1 3 5" xfId="216"/>
    <cellStyle name="20% - akcent 1 3 6" xfId="217"/>
    <cellStyle name="20% - akcent 1 3 7" xfId="218"/>
    <cellStyle name="20% - akcent 1 3 8" xfId="219"/>
    <cellStyle name="20% - akcent 1 30" xfId="220"/>
    <cellStyle name="20% - akcent 1 30 2" xfId="221"/>
    <cellStyle name="20% - akcent 1 31" xfId="222"/>
    <cellStyle name="20% - akcent 1 31 2" xfId="223"/>
    <cellStyle name="20% - akcent 1 32" xfId="224"/>
    <cellStyle name="20% - akcent 1 32 2" xfId="225"/>
    <cellStyle name="20% - akcent 1 33" xfId="226"/>
    <cellStyle name="20% - akcent 1 33 2" xfId="227"/>
    <cellStyle name="20% - akcent 1 34" xfId="228"/>
    <cellStyle name="20% - akcent 1 34 2" xfId="229"/>
    <cellStyle name="20% - akcent 1 35" xfId="230"/>
    <cellStyle name="20% - akcent 1 35 2" xfId="231"/>
    <cellStyle name="20% - akcent 1 36" xfId="232"/>
    <cellStyle name="20% - akcent 1 36 2" xfId="233"/>
    <cellStyle name="20% - akcent 1 37" xfId="234"/>
    <cellStyle name="20% - akcent 1 37 2" xfId="235"/>
    <cellStyle name="20% - akcent 1 38" xfId="236"/>
    <cellStyle name="20% - akcent 1 38 2" xfId="237"/>
    <cellStyle name="20% - akcent 1 39" xfId="238"/>
    <cellStyle name="20% - akcent 1 39 2" xfId="239"/>
    <cellStyle name="20% - akcent 1 4" xfId="240"/>
    <cellStyle name="20% - akcent 1 4 2" xfId="241"/>
    <cellStyle name="20% - akcent 1 4 2 2" xfId="242"/>
    <cellStyle name="20% - akcent 1 4 3" xfId="243"/>
    <cellStyle name="20% - akcent 1 4 3 2" xfId="244"/>
    <cellStyle name="20% - akcent 1 4 4" xfId="245"/>
    <cellStyle name="20% - akcent 1 4 4 2" xfId="246"/>
    <cellStyle name="20% - akcent 1 4 5" xfId="247"/>
    <cellStyle name="20% - akcent 1 4 6" xfId="248"/>
    <cellStyle name="20% - akcent 1 4 7" xfId="249"/>
    <cellStyle name="20% - akcent 1 4 8" xfId="250"/>
    <cellStyle name="20% - akcent 1 40" xfId="251"/>
    <cellStyle name="20% - akcent 1 40 2" xfId="252"/>
    <cellStyle name="20% - akcent 1 41" xfId="253"/>
    <cellStyle name="20% - akcent 1 41 2" xfId="254"/>
    <cellStyle name="20% - akcent 1 42" xfId="255"/>
    <cellStyle name="20% - akcent 1 42 2" xfId="256"/>
    <cellStyle name="20% - akcent 1 43" xfId="257"/>
    <cellStyle name="20% - akcent 1 43 2" xfId="258"/>
    <cellStyle name="20% - akcent 1 44" xfId="259"/>
    <cellStyle name="20% - akcent 1 44 2" xfId="260"/>
    <cellStyle name="20% - akcent 1 45" xfId="261"/>
    <cellStyle name="20% - akcent 1 45 2" xfId="262"/>
    <cellStyle name="20% - akcent 1 46" xfId="263"/>
    <cellStyle name="20% - akcent 1 46 2" xfId="264"/>
    <cellStyle name="20% - akcent 1 47" xfId="265"/>
    <cellStyle name="20% - akcent 1 47 2" xfId="266"/>
    <cellStyle name="20% - akcent 1 48" xfId="267"/>
    <cellStyle name="20% - akcent 1 48 2" xfId="268"/>
    <cellStyle name="20% - akcent 1 49" xfId="269"/>
    <cellStyle name="20% - akcent 1 49 2" xfId="270"/>
    <cellStyle name="20% - akcent 1 5" xfId="271"/>
    <cellStyle name="20% - akcent 1 5 2" xfId="272"/>
    <cellStyle name="20% - akcent 1 5 3" xfId="273"/>
    <cellStyle name="20% - akcent 1 50" xfId="274"/>
    <cellStyle name="20% - akcent 1 50 2" xfId="275"/>
    <cellStyle name="20% - akcent 1 51" xfId="276"/>
    <cellStyle name="20% - akcent 1 51 2" xfId="277"/>
    <cellStyle name="20% - akcent 1 52" xfId="278"/>
    <cellStyle name="20% - akcent 1 52 2" xfId="279"/>
    <cellStyle name="20% - akcent 1 53" xfId="280"/>
    <cellStyle name="20% - akcent 1 53 2" xfId="281"/>
    <cellStyle name="20% - akcent 1 54" xfId="282"/>
    <cellStyle name="20% - akcent 1 54 2" xfId="283"/>
    <cellStyle name="20% - akcent 1 55" xfId="284"/>
    <cellStyle name="20% - akcent 1 55 2" xfId="285"/>
    <cellStyle name="20% - akcent 1 56" xfId="286"/>
    <cellStyle name="20% - akcent 1 56 2" xfId="287"/>
    <cellStyle name="20% - akcent 1 57" xfId="288"/>
    <cellStyle name="20% - akcent 1 57 2" xfId="289"/>
    <cellStyle name="20% - akcent 1 58" xfId="290"/>
    <cellStyle name="20% - akcent 1 58 2" xfId="291"/>
    <cellStyle name="20% - akcent 1 59" xfId="292"/>
    <cellStyle name="20% - akcent 1 59 2" xfId="293"/>
    <cellStyle name="20% - akcent 1 6" xfId="294"/>
    <cellStyle name="20% - akcent 1 60" xfId="295"/>
    <cellStyle name="20% - akcent 1 60 2" xfId="296"/>
    <cellStyle name="20% - akcent 1 61" xfId="297"/>
    <cellStyle name="20% - akcent 1 61 2" xfId="298"/>
    <cellStyle name="20% - akcent 1 62" xfId="299"/>
    <cellStyle name="20% - akcent 1 62 2" xfId="300"/>
    <cellStyle name="20% - akcent 1 63" xfId="301"/>
    <cellStyle name="20% - akcent 1 63 2" xfId="302"/>
    <cellStyle name="20% - akcent 1 64" xfId="303"/>
    <cellStyle name="20% - akcent 1 64 2" xfId="304"/>
    <cellStyle name="20% - akcent 1 65" xfId="305"/>
    <cellStyle name="20% - akcent 1 65 2" xfId="306"/>
    <cellStyle name="20% - akcent 1 66" xfId="307"/>
    <cellStyle name="20% - akcent 1 66 2" xfId="308"/>
    <cellStyle name="20% - akcent 1 67" xfId="309"/>
    <cellStyle name="20% - akcent 1 67 2" xfId="310"/>
    <cellStyle name="20% - akcent 1 68" xfId="311"/>
    <cellStyle name="20% - akcent 1 68 2" xfId="312"/>
    <cellStyle name="20% - akcent 1 69" xfId="313"/>
    <cellStyle name="20% - akcent 1 69 2" xfId="314"/>
    <cellStyle name="20% - akcent 1 7" xfId="315"/>
    <cellStyle name="20% - akcent 1 70" xfId="316"/>
    <cellStyle name="20% - akcent 1 70 2" xfId="317"/>
    <cellStyle name="20% - akcent 1 71" xfId="318"/>
    <cellStyle name="20% - akcent 1 71 2" xfId="319"/>
    <cellStyle name="20% - akcent 1 72" xfId="320"/>
    <cellStyle name="20% - akcent 1 72 2" xfId="321"/>
    <cellStyle name="20% - akcent 1 73" xfId="322"/>
    <cellStyle name="20% - akcent 1 73 2" xfId="323"/>
    <cellStyle name="20% - akcent 1 74" xfId="324"/>
    <cellStyle name="20% - akcent 1 74 2" xfId="325"/>
    <cellStyle name="20% - akcent 1 75" xfId="326"/>
    <cellStyle name="20% - akcent 1 75 2" xfId="327"/>
    <cellStyle name="20% - akcent 1 76" xfId="328"/>
    <cellStyle name="20% - akcent 1 76 2" xfId="329"/>
    <cellStyle name="20% - akcent 1 77" xfId="330"/>
    <cellStyle name="20% - akcent 1 77 2" xfId="331"/>
    <cellStyle name="20% - akcent 1 78" xfId="332"/>
    <cellStyle name="20% - akcent 1 78 2" xfId="333"/>
    <cellStyle name="20% - akcent 1 79" xfId="334"/>
    <cellStyle name="20% - akcent 1 79 2" xfId="335"/>
    <cellStyle name="20% - akcent 1 8" xfId="336"/>
    <cellStyle name="20% - akcent 1 80" xfId="337"/>
    <cellStyle name="20% - akcent 1 80 2" xfId="338"/>
    <cellStyle name="20% - akcent 1 81" xfId="339"/>
    <cellStyle name="20% - akcent 1 81 2" xfId="340"/>
    <cellStyle name="20% - akcent 1 82" xfId="341"/>
    <cellStyle name="20% - akcent 1 82 2" xfId="342"/>
    <cellStyle name="20% - akcent 1 83" xfId="343"/>
    <cellStyle name="20% - akcent 1 83 2" xfId="344"/>
    <cellStyle name="20% - akcent 1 84" xfId="345"/>
    <cellStyle name="20% - akcent 1 84 2" xfId="346"/>
    <cellStyle name="20% - akcent 1 85" xfId="347"/>
    <cellStyle name="20% - akcent 1 85 2" xfId="348"/>
    <cellStyle name="20% - akcent 1 86" xfId="349"/>
    <cellStyle name="20% - akcent 1 86 2" xfId="350"/>
    <cellStyle name="20% - akcent 1 87" xfId="351"/>
    <cellStyle name="20% - akcent 1 87 2" xfId="352"/>
    <cellStyle name="20% - akcent 1 88" xfId="353"/>
    <cellStyle name="20% - akcent 1 88 2" xfId="354"/>
    <cellStyle name="20% - akcent 1 89" xfId="355"/>
    <cellStyle name="20% - akcent 1 89 2" xfId="356"/>
    <cellStyle name="20% - akcent 1 9" xfId="357"/>
    <cellStyle name="20% - akcent 1 90" xfId="358"/>
    <cellStyle name="20% - akcent 1 90 2" xfId="359"/>
    <cellStyle name="20% - akcent 1 91" xfId="360"/>
    <cellStyle name="20% - akcent 1 91 2" xfId="361"/>
    <cellStyle name="20% - akcent 1 92" xfId="362"/>
    <cellStyle name="20% - akcent 1 92 2" xfId="363"/>
    <cellStyle name="20% - akcent 1 93" xfId="364"/>
    <cellStyle name="20% - akcent 1 93 2" xfId="365"/>
    <cellStyle name="20% - akcent 1 94" xfId="366"/>
    <cellStyle name="20% - akcent 1 94 2" xfId="367"/>
    <cellStyle name="20% - akcent 1 95" xfId="368"/>
    <cellStyle name="20% - akcent 1 95 2" xfId="369"/>
    <cellStyle name="20% - akcent 1 96" xfId="370"/>
    <cellStyle name="20% - akcent 1 96 2" xfId="371"/>
    <cellStyle name="20% - akcent 1 97" xfId="372"/>
    <cellStyle name="20% - akcent 1 97 2" xfId="373"/>
    <cellStyle name="20% - akcent 1 98" xfId="374"/>
    <cellStyle name="20% - akcent 1 98 2" xfId="375"/>
    <cellStyle name="20% - akcent 1 99" xfId="376"/>
    <cellStyle name="20% - akcent 1 99 2" xfId="377"/>
    <cellStyle name="20% - akcent 2 10" xfId="378"/>
    <cellStyle name="20% - akcent 2 100" xfId="379"/>
    <cellStyle name="20% - akcent 2 100 2" xfId="380"/>
    <cellStyle name="20% - akcent 2 101" xfId="381"/>
    <cellStyle name="20% - akcent 2 101 2" xfId="382"/>
    <cellStyle name="20% - akcent 2 102" xfId="383"/>
    <cellStyle name="20% - akcent 2 102 2" xfId="384"/>
    <cellStyle name="20% - akcent 2 103" xfId="385"/>
    <cellStyle name="20% - akcent 2 103 2" xfId="386"/>
    <cellStyle name="20% - akcent 2 104" xfId="387"/>
    <cellStyle name="20% - akcent 2 104 2" xfId="388"/>
    <cellStyle name="20% - akcent 2 105" xfId="389"/>
    <cellStyle name="20% - akcent 2 105 2" xfId="390"/>
    <cellStyle name="20% - akcent 2 106" xfId="391"/>
    <cellStyle name="20% - akcent 2 106 2" xfId="392"/>
    <cellStyle name="20% - akcent 2 107" xfId="393"/>
    <cellStyle name="20% - akcent 2 107 2" xfId="394"/>
    <cellStyle name="20% - akcent 2 108" xfId="395"/>
    <cellStyle name="20% - akcent 2 108 2" xfId="396"/>
    <cellStyle name="20% - akcent 2 109" xfId="397"/>
    <cellStyle name="20% - akcent 2 109 2" xfId="398"/>
    <cellStyle name="20% - akcent 2 11" xfId="399"/>
    <cellStyle name="20% - akcent 2 110" xfId="400"/>
    <cellStyle name="20% - akcent 2 110 2" xfId="401"/>
    <cellStyle name="20% - akcent 2 111" xfId="402"/>
    <cellStyle name="20% - akcent 2 111 2" xfId="403"/>
    <cellStyle name="20% - akcent 2 112" xfId="404"/>
    <cellStyle name="20% - akcent 2 112 2" xfId="405"/>
    <cellStyle name="20% - akcent 2 113" xfId="406"/>
    <cellStyle name="20% - akcent 2 113 2" xfId="407"/>
    <cellStyle name="20% - akcent 2 114" xfId="408"/>
    <cellStyle name="20% - akcent 2 114 2" xfId="409"/>
    <cellStyle name="20% - akcent 2 115" xfId="410"/>
    <cellStyle name="20% - akcent 2 115 2" xfId="411"/>
    <cellStyle name="20% - akcent 2 116" xfId="412"/>
    <cellStyle name="20% - akcent 2 116 2" xfId="413"/>
    <cellStyle name="20% - akcent 2 117" xfId="414"/>
    <cellStyle name="20% - akcent 2 117 2" xfId="415"/>
    <cellStyle name="20% - akcent 2 118" xfId="416"/>
    <cellStyle name="20% - akcent 2 118 2" xfId="417"/>
    <cellStyle name="20% - akcent 2 119" xfId="418"/>
    <cellStyle name="20% - akcent 2 119 2" xfId="419"/>
    <cellStyle name="20% - akcent 2 12" xfId="420"/>
    <cellStyle name="20% - akcent 2 120" xfId="421"/>
    <cellStyle name="20% - akcent 2 121" xfId="422"/>
    <cellStyle name="20% - akcent 2 13" xfId="423"/>
    <cellStyle name="20% - akcent 2 14" xfId="424"/>
    <cellStyle name="20% - akcent 2 15" xfId="425"/>
    <cellStyle name="20% - akcent 2 16" xfId="426"/>
    <cellStyle name="20% - akcent 2 17" xfId="427"/>
    <cellStyle name="20% - akcent 2 18" xfId="428"/>
    <cellStyle name="20% - akcent 2 19" xfId="429"/>
    <cellStyle name="20% - akcent 2 2" xfId="430"/>
    <cellStyle name="20% - akcent 2 2 10" xfId="431"/>
    <cellStyle name="20% - akcent 2 2 10 2" xfId="432"/>
    <cellStyle name="20% - akcent 2 2 10 3" xfId="433"/>
    <cellStyle name="20% - akcent 2 2 10 4" xfId="434"/>
    <cellStyle name="20% - akcent 2 2 10 5" xfId="435"/>
    <cellStyle name="20% - akcent 2 2 10 6" xfId="436"/>
    <cellStyle name="20% - akcent 2 2 11" xfId="437"/>
    <cellStyle name="20% - akcent 2 2 11 2" xfId="438"/>
    <cellStyle name="20% - akcent 2 2 11 3" xfId="439"/>
    <cellStyle name="20% - akcent 2 2 11 4" xfId="440"/>
    <cellStyle name="20% - akcent 2 2 11 5" xfId="441"/>
    <cellStyle name="20% - akcent 2 2 11 6" xfId="442"/>
    <cellStyle name="20% - akcent 2 2 12" xfId="443"/>
    <cellStyle name="20% - akcent 2 2 12 2" xfId="444"/>
    <cellStyle name="20% - akcent 2 2 12 3" xfId="445"/>
    <cellStyle name="20% - akcent 2 2 12 4" xfId="446"/>
    <cellStyle name="20% - akcent 2 2 12 5" xfId="447"/>
    <cellStyle name="20% - akcent 2 2 12 6" xfId="448"/>
    <cellStyle name="20% - akcent 2 2 13" xfId="449"/>
    <cellStyle name="20% - akcent 2 2 13 2" xfId="450"/>
    <cellStyle name="20% - akcent 2 2 13 3" xfId="451"/>
    <cellStyle name="20% - akcent 2 2 13 4" xfId="452"/>
    <cellStyle name="20% - akcent 2 2 13 5" xfId="453"/>
    <cellStyle name="20% - akcent 2 2 13 6" xfId="454"/>
    <cellStyle name="20% - akcent 2 2 14" xfId="455"/>
    <cellStyle name="20% - akcent 2 2 14 2" xfId="456"/>
    <cellStyle name="20% - akcent 2 2 14 3" xfId="457"/>
    <cellStyle name="20% - akcent 2 2 14 4" xfId="458"/>
    <cellStyle name="20% - akcent 2 2 14 5" xfId="459"/>
    <cellStyle name="20% - akcent 2 2 14 6" xfId="460"/>
    <cellStyle name="20% - akcent 2 2 15" xfId="461"/>
    <cellStyle name="20% - akcent 2 2 15 2" xfId="462"/>
    <cellStyle name="20% - akcent 2 2 15 3" xfId="463"/>
    <cellStyle name="20% - akcent 2 2 15 4" xfId="464"/>
    <cellStyle name="20% - akcent 2 2 15 5" xfId="465"/>
    <cellStyle name="20% - akcent 2 2 15 6" xfId="466"/>
    <cellStyle name="20% - akcent 2 2 16" xfId="467"/>
    <cellStyle name="20% - akcent 2 2 16 2" xfId="468"/>
    <cellStyle name="20% - akcent 2 2 16 3" xfId="469"/>
    <cellStyle name="20% - akcent 2 2 16 4" xfId="470"/>
    <cellStyle name="20% - akcent 2 2 16 5" xfId="471"/>
    <cellStyle name="20% - akcent 2 2 16 6" xfId="472"/>
    <cellStyle name="20% - akcent 2 2 17" xfId="473"/>
    <cellStyle name="20% - akcent 2 2 17 2" xfId="474"/>
    <cellStyle name="20% - akcent 2 2 17 3" xfId="475"/>
    <cellStyle name="20% - akcent 2 2 17 4" xfId="476"/>
    <cellStyle name="20% - akcent 2 2 17 5" xfId="477"/>
    <cellStyle name="20% - akcent 2 2 17 6" xfId="478"/>
    <cellStyle name="20% - akcent 2 2 18" xfId="479"/>
    <cellStyle name="20% - akcent 2 2 18 2" xfId="480"/>
    <cellStyle name="20% - akcent 2 2 18 3" xfId="481"/>
    <cellStyle name="20% - akcent 2 2 18 4" xfId="482"/>
    <cellStyle name="20% - akcent 2 2 18 5" xfId="483"/>
    <cellStyle name="20% - akcent 2 2 18 6" xfId="484"/>
    <cellStyle name="20% - akcent 2 2 19" xfId="485"/>
    <cellStyle name="20% - akcent 2 2 19 2" xfId="486"/>
    <cellStyle name="20% - akcent 2 2 19 3" xfId="487"/>
    <cellStyle name="20% - akcent 2 2 19 4" xfId="488"/>
    <cellStyle name="20% - akcent 2 2 19 5" xfId="489"/>
    <cellStyle name="20% - akcent 2 2 19 6" xfId="490"/>
    <cellStyle name="20% - akcent 2 2 2" xfId="491"/>
    <cellStyle name="20% - akcent 2 2 2 2" xfId="492"/>
    <cellStyle name="20% - akcent 2 2 2 3" xfId="493"/>
    <cellStyle name="20% - akcent 2 2 2 4" xfId="494"/>
    <cellStyle name="20% - akcent 2 2 2 5" xfId="495"/>
    <cellStyle name="20% - akcent 2 2 2 6" xfId="496"/>
    <cellStyle name="20% - akcent 2 2 2 7" xfId="497"/>
    <cellStyle name="20% - akcent 2 2 20" xfId="498"/>
    <cellStyle name="20% - akcent 2 2 20 2" xfId="499"/>
    <cellStyle name="20% - akcent 2 2 20 3" xfId="500"/>
    <cellStyle name="20% - akcent 2 2 20 4" xfId="501"/>
    <cellStyle name="20% - akcent 2 2 20 5" xfId="502"/>
    <cellStyle name="20% - akcent 2 2 20 6" xfId="503"/>
    <cellStyle name="20% - akcent 2 2 21" xfId="504"/>
    <cellStyle name="20% - akcent 2 2 21 2" xfId="505"/>
    <cellStyle name="20% - akcent 2 2 21 3" xfId="506"/>
    <cellStyle name="20% - akcent 2 2 21 4" xfId="507"/>
    <cellStyle name="20% - akcent 2 2 21 5" xfId="508"/>
    <cellStyle name="20% - akcent 2 2 21 6" xfId="509"/>
    <cellStyle name="20% - akcent 2 2 22" xfId="510"/>
    <cellStyle name="20% - akcent 2 2 22 2" xfId="511"/>
    <cellStyle name="20% - akcent 2 2 22 3" xfId="512"/>
    <cellStyle name="20% - akcent 2 2 22 4" xfId="513"/>
    <cellStyle name="20% - akcent 2 2 22 5" xfId="514"/>
    <cellStyle name="20% - akcent 2 2 22 6" xfId="515"/>
    <cellStyle name="20% - akcent 2 2 23" xfId="516"/>
    <cellStyle name="20% - akcent 2 2 23 2" xfId="517"/>
    <cellStyle name="20% - akcent 2 2 23 3" xfId="518"/>
    <cellStyle name="20% - akcent 2 2 23 4" xfId="519"/>
    <cellStyle name="20% - akcent 2 2 23 5" xfId="520"/>
    <cellStyle name="20% - akcent 2 2 23 6" xfId="521"/>
    <cellStyle name="20% - akcent 2 2 24" xfId="522"/>
    <cellStyle name="20% - akcent 2 2 24 2" xfId="523"/>
    <cellStyle name="20% - akcent 2 2 24 3" xfId="524"/>
    <cellStyle name="20% - akcent 2 2 24 4" xfId="525"/>
    <cellStyle name="20% - akcent 2 2 24 5" xfId="526"/>
    <cellStyle name="20% - akcent 2 2 24 6" xfId="527"/>
    <cellStyle name="20% - akcent 2 2 25" xfId="528"/>
    <cellStyle name="20% - akcent 2 2 25 2" xfId="529"/>
    <cellStyle name="20% - akcent 2 2 25 3" xfId="530"/>
    <cellStyle name="20% - akcent 2 2 25 4" xfId="531"/>
    <cellStyle name="20% - akcent 2 2 25 5" xfId="532"/>
    <cellStyle name="20% - akcent 2 2 25 6" xfId="533"/>
    <cellStyle name="20% - akcent 2 2 26" xfId="534"/>
    <cellStyle name="20% - akcent 2 2 26 2" xfId="535"/>
    <cellStyle name="20% - akcent 2 2 26 3" xfId="536"/>
    <cellStyle name="20% - akcent 2 2 26 4" xfId="537"/>
    <cellStyle name="20% - akcent 2 2 26 5" xfId="538"/>
    <cellStyle name="20% - akcent 2 2 26 6" xfId="539"/>
    <cellStyle name="20% - akcent 2 2 27" xfId="540"/>
    <cellStyle name="20% - akcent 2 2 27 2" xfId="541"/>
    <cellStyle name="20% - akcent 2 2 27 3" xfId="542"/>
    <cellStyle name="20% - akcent 2 2 27 4" xfId="543"/>
    <cellStyle name="20% - akcent 2 2 27 5" xfId="544"/>
    <cellStyle name="20% - akcent 2 2 27 6" xfId="545"/>
    <cellStyle name="20% - akcent 2 2 28" xfId="546"/>
    <cellStyle name="20% - akcent 2 2 28 2" xfId="547"/>
    <cellStyle name="20% - akcent 2 2 28 3" xfId="548"/>
    <cellStyle name="20% - akcent 2 2 28 4" xfId="549"/>
    <cellStyle name="20% - akcent 2 2 28 5" xfId="550"/>
    <cellStyle name="20% - akcent 2 2 28 6" xfId="551"/>
    <cellStyle name="20% - akcent 2 2 29" xfId="552"/>
    <cellStyle name="20% - akcent 2 2 29 2" xfId="553"/>
    <cellStyle name="20% - akcent 2 2 3" xfId="554"/>
    <cellStyle name="20% - akcent 2 2 3 2" xfId="555"/>
    <cellStyle name="20% - akcent 2 2 3 3" xfId="556"/>
    <cellStyle name="20% - akcent 2 2 3 4" xfId="557"/>
    <cellStyle name="20% - akcent 2 2 3 5" xfId="558"/>
    <cellStyle name="20% - akcent 2 2 3 6" xfId="559"/>
    <cellStyle name="20% - akcent 2 2 3 7" xfId="560"/>
    <cellStyle name="20% - akcent 2 2 30" xfId="561"/>
    <cellStyle name="20% - akcent 2 2 30 2" xfId="562"/>
    <cellStyle name="20% - akcent 2 2 31" xfId="563"/>
    <cellStyle name="20% - akcent 2 2 31 2" xfId="564"/>
    <cellStyle name="20% - akcent 2 2 32" xfId="565"/>
    <cellStyle name="20% - akcent 2 2 32 2" xfId="566"/>
    <cellStyle name="20% - akcent 2 2 33" xfId="567"/>
    <cellStyle name="20% - akcent 2 2 34" xfId="568"/>
    <cellStyle name="20% - akcent 2 2 35" xfId="569"/>
    <cellStyle name="20% - akcent 2 2 36" xfId="570"/>
    <cellStyle name="20% - akcent 2 2 37" xfId="571"/>
    <cellStyle name="20% - akcent 2 2 38" xfId="572"/>
    <cellStyle name="20% - akcent 2 2 39" xfId="573"/>
    <cellStyle name="20% - akcent 2 2 4" xfId="574"/>
    <cellStyle name="20% - akcent 2 2 4 2" xfId="575"/>
    <cellStyle name="20% - akcent 2 2 4 3" xfId="576"/>
    <cellStyle name="20% - akcent 2 2 4 4" xfId="577"/>
    <cellStyle name="20% - akcent 2 2 4 5" xfId="578"/>
    <cellStyle name="20% - akcent 2 2 4 6" xfId="579"/>
    <cellStyle name="20% - akcent 2 2 4 7" xfId="580"/>
    <cellStyle name="20% - akcent 2 2 40" xfId="581"/>
    <cellStyle name="20% - akcent 2 2 41" xfId="582"/>
    <cellStyle name="20% - akcent 2 2 42" xfId="583"/>
    <cellStyle name="20% - akcent 2 2 43" xfId="584"/>
    <cellStyle name="20% - akcent 2 2 44" xfId="585"/>
    <cellStyle name="20% - akcent 2 2 45" xfId="586"/>
    <cellStyle name="20% - akcent 2 2 46" xfId="587"/>
    <cellStyle name="20% - akcent 2 2 47" xfId="588"/>
    <cellStyle name="20% - akcent 2 2 48" xfId="589"/>
    <cellStyle name="20% - akcent 2 2 49" xfId="590"/>
    <cellStyle name="20% - akcent 2 2 5" xfId="591"/>
    <cellStyle name="20% - akcent 2 2 5 2" xfId="592"/>
    <cellStyle name="20% - akcent 2 2 5 3" xfId="593"/>
    <cellStyle name="20% - akcent 2 2 5 4" xfId="594"/>
    <cellStyle name="20% - akcent 2 2 5 5" xfId="595"/>
    <cellStyle name="20% - akcent 2 2 5 6" xfId="596"/>
    <cellStyle name="20% - akcent 2 2 50" xfId="597"/>
    <cellStyle name="20% - akcent 2 2 51" xfId="598"/>
    <cellStyle name="20% - akcent 2 2 6" xfId="599"/>
    <cellStyle name="20% - akcent 2 2 6 2" xfId="600"/>
    <cellStyle name="20% - akcent 2 2 6 3" xfId="601"/>
    <cellStyle name="20% - akcent 2 2 6 4" xfId="602"/>
    <cellStyle name="20% - akcent 2 2 6 5" xfId="603"/>
    <cellStyle name="20% - akcent 2 2 6 6" xfId="604"/>
    <cellStyle name="20% - akcent 2 2 7" xfId="605"/>
    <cellStyle name="20% - akcent 2 2 7 2" xfId="606"/>
    <cellStyle name="20% - akcent 2 2 7 3" xfId="607"/>
    <cellStyle name="20% - akcent 2 2 7 4" xfId="608"/>
    <cellStyle name="20% - akcent 2 2 7 5" xfId="609"/>
    <cellStyle name="20% - akcent 2 2 7 6" xfId="610"/>
    <cellStyle name="20% - akcent 2 2 8" xfId="611"/>
    <cellStyle name="20% - akcent 2 2 8 2" xfId="612"/>
    <cellStyle name="20% - akcent 2 2 8 3" xfId="613"/>
    <cellStyle name="20% - akcent 2 2 8 4" xfId="614"/>
    <cellStyle name="20% - akcent 2 2 8 5" xfId="615"/>
    <cellStyle name="20% - akcent 2 2 8 6" xfId="616"/>
    <cellStyle name="20% - akcent 2 2 9" xfId="617"/>
    <cellStyle name="20% - akcent 2 2 9 2" xfId="618"/>
    <cellStyle name="20% - akcent 2 2 9 3" xfId="619"/>
    <cellStyle name="20% - akcent 2 2 9 4" xfId="620"/>
    <cellStyle name="20% - akcent 2 2 9 5" xfId="621"/>
    <cellStyle name="20% - akcent 2 2 9 6" xfId="622"/>
    <cellStyle name="20% - akcent 2 20" xfId="623"/>
    <cellStyle name="20% - akcent 2 21" xfId="624"/>
    <cellStyle name="20% - akcent 2 22" xfId="625"/>
    <cellStyle name="20% - akcent 2 23" xfId="626"/>
    <cellStyle name="20% - akcent 2 24" xfId="627"/>
    <cellStyle name="20% - akcent 2 25" xfId="628"/>
    <cellStyle name="20% - akcent 2 26" xfId="629"/>
    <cellStyle name="20% - akcent 2 27" xfId="630"/>
    <cellStyle name="20% - akcent 2 28" xfId="631"/>
    <cellStyle name="20% - akcent 2 29" xfId="632"/>
    <cellStyle name="20% - akcent 2 3" xfId="633"/>
    <cellStyle name="20% - akcent 2 3 2" xfId="634"/>
    <cellStyle name="20% - akcent 2 3 2 2" xfId="635"/>
    <cellStyle name="20% - akcent 2 3 3" xfId="636"/>
    <cellStyle name="20% - akcent 2 3 3 2" xfId="637"/>
    <cellStyle name="20% - akcent 2 3 4" xfId="638"/>
    <cellStyle name="20% - akcent 2 3 4 2" xfId="639"/>
    <cellStyle name="20% - akcent 2 3 5" xfId="640"/>
    <cellStyle name="20% - akcent 2 3 6" xfId="641"/>
    <cellStyle name="20% - akcent 2 3 7" xfId="642"/>
    <cellStyle name="20% - akcent 2 3 8" xfId="643"/>
    <cellStyle name="20% - akcent 2 30" xfId="644"/>
    <cellStyle name="20% - akcent 2 30 2" xfId="645"/>
    <cellStyle name="20% - akcent 2 31" xfId="646"/>
    <cellStyle name="20% - akcent 2 31 2" xfId="647"/>
    <cellStyle name="20% - akcent 2 32" xfId="648"/>
    <cellStyle name="20% - akcent 2 32 2" xfId="649"/>
    <cellStyle name="20% - akcent 2 33" xfId="650"/>
    <cellStyle name="20% - akcent 2 33 2" xfId="651"/>
    <cellStyle name="20% - akcent 2 34" xfId="652"/>
    <cellStyle name="20% - akcent 2 34 2" xfId="653"/>
    <cellStyle name="20% - akcent 2 35" xfId="654"/>
    <cellStyle name="20% - akcent 2 35 2" xfId="655"/>
    <cellStyle name="20% - akcent 2 36" xfId="656"/>
    <cellStyle name="20% - akcent 2 36 2" xfId="657"/>
    <cellStyle name="20% - akcent 2 37" xfId="658"/>
    <cellStyle name="20% - akcent 2 37 2" xfId="659"/>
    <cellStyle name="20% - akcent 2 38" xfId="660"/>
    <cellStyle name="20% - akcent 2 38 2" xfId="661"/>
    <cellStyle name="20% - akcent 2 39" xfId="662"/>
    <cellStyle name="20% - akcent 2 39 2" xfId="663"/>
    <cellStyle name="20% - akcent 2 4" xfId="664"/>
    <cellStyle name="20% - akcent 2 4 2" xfId="665"/>
    <cellStyle name="20% - akcent 2 4 2 2" xfId="666"/>
    <cellStyle name="20% - akcent 2 4 3" xfId="667"/>
    <cellStyle name="20% - akcent 2 4 3 2" xfId="668"/>
    <cellStyle name="20% - akcent 2 4 4" xfId="669"/>
    <cellStyle name="20% - akcent 2 4 4 2" xfId="670"/>
    <cellStyle name="20% - akcent 2 4 5" xfId="671"/>
    <cellStyle name="20% - akcent 2 4 6" xfId="672"/>
    <cellStyle name="20% - akcent 2 4 7" xfId="673"/>
    <cellStyle name="20% - akcent 2 4 8" xfId="674"/>
    <cellStyle name="20% - akcent 2 40" xfId="675"/>
    <cellStyle name="20% - akcent 2 40 2" xfId="676"/>
    <cellStyle name="20% - akcent 2 41" xfId="677"/>
    <cellStyle name="20% - akcent 2 41 2" xfId="678"/>
    <cellStyle name="20% - akcent 2 42" xfId="679"/>
    <cellStyle name="20% - akcent 2 42 2" xfId="680"/>
    <cellStyle name="20% - akcent 2 43" xfId="681"/>
    <cellStyle name="20% - akcent 2 43 2" xfId="682"/>
    <cellStyle name="20% - akcent 2 44" xfId="683"/>
    <cellStyle name="20% - akcent 2 44 2" xfId="684"/>
    <cellStyle name="20% - akcent 2 45" xfId="685"/>
    <cellStyle name="20% - akcent 2 45 2" xfId="686"/>
    <cellStyle name="20% - akcent 2 46" xfId="687"/>
    <cellStyle name="20% - akcent 2 46 2" xfId="688"/>
    <cellStyle name="20% - akcent 2 47" xfId="689"/>
    <cellStyle name="20% - akcent 2 47 2" xfId="690"/>
    <cellStyle name="20% - akcent 2 48" xfId="691"/>
    <cellStyle name="20% - akcent 2 48 2" xfId="692"/>
    <cellStyle name="20% - akcent 2 49" xfId="693"/>
    <cellStyle name="20% - akcent 2 49 2" xfId="694"/>
    <cellStyle name="20% - akcent 2 5" xfId="695"/>
    <cellStyle name="20% - akcent 2 5 2" xfId="696"/>
    <cellStyle name="20% - akcent 2 5 3" xfId="697"/>
    <cellStyle name="20% - akcent 2 50" xfId="698"/>
    <cellStyle name="20% - akcent 2 50 2" xfId="699"/>
    <cellStyle name="20% - akcent 2 51" xfId="700"/>
    <cellStyle name="20% - akcent 2 51 2" xfId="701"/>
    <cellStyle name="20% - akcent 2 52" xfId="702"/>
    <cellStyle name="20% - akcent 2 52 2" xfId="703"/>
    <cellStyle name="20% - akcent 2 53" xfId="704"/>
    <cellStyle name="20% - akcent 2 53 2" xfId="705"/>
    <cellStyle name="20% - akcent 2 54" xfId="706"/>
    <cellStyle name="20% - akcent 2 54 2" xfId="707"/>
    <cellStyle name="20% - akcent 2 55" xfId="708"/>
    <cellStyle name="20% - akcent 2 55 2" xfId="709"/>
    <cellStyle name="20% - akcent 2 56" xfId="710"/>
    <cellStyle name="20% - akcent 2 56 2" xfId="711"/>
    <cellStyle name="20% - akcent 2 57" xfId="712"/>
    <cellStyle name="20% - akcent 2 57 2" xfId="713"/>
    <cellStyle name="20% - akcent 2 58" xfId="714"/>
    <cellStyle name="20% - akcent 2 58 2" xfId="715"/>
    <cellStyle name="20% - akcent 2 59" xfId="716"/>
    <cellStyle name="20% - akcent 2 59 2" xfId="717"/>
    <cellStyle name="20% - akcent 2 6" xfId="718"/>
    <cellStyle name="20% - akcent 2 60" xfId="719"/>
    <cellStyle name="20% - akcent 2 60 2" xfId="720"/>
    <cellStyle name="20% - akcent 2 61" xfId="721"/>
    <cellStyle name="20% - akcent 2 61 2" xfId="722"/>
    <cellStyle name="20% - akcent 2 62" xfId="723"/>
    <cellStyle name="20% - akcent 2 62 2" xfId="724"/>
    <cellStyle name="20% - akcent 2 63" xfId="725"/>
    <cellStyle name="20% - akcent 2 63 2" xfId="726"/>
    <cellStyle name="20% - akcent 2 64" xfId="727"/>
    <cellStyle name="20% - akcent 2 64 2" xfId="728"/>
    <cellStyle name="20% - akcent 2 65" xfId="729"/>
    <cellStyle name="20% - akcent 2 65 2" xfId="730"/>
    <cellStyle name="20% - akcent 2 66" xfId="731"/>
    <cellStyle name="20% - akcent 2 66 2" xfId="732"/>
    <cellStyle name="20% - akcent 2 67" xfId="733"/>
    <cellStyle name="20% - akcent 2 67 2" xfId="734"/>
    <cellStyle name="20% - akcent 2 68" xfId="735"/>
    <cellStyle name="20% - akcent 2 68 2" xfId="736"/>
    <cellStyle name="20% - akcent 2 69" xfId="737"/>
    <cellStyle name="20% - akcent 2 69 2" xfId="738"/>
    <cellStyle name="20% - akcent 2 7" xfId="739"/>
    <cellStyle name="20% - akcent 2 70" xfId="740"/>
    <cellStyle name="20% - akcent 2 70 2" xfId="741"/>
    <cellStyle name="20% - akcent 2 71" xfId="742"/>
    <cellStyle name="20% - akcent 2 71 2" xfId="743"/>
    <cellStyle name="20% - akcent 2 72" xfId="744"/>
    <cellStyle name="20% - akcent 2 72 2" xfId="745"/>
    <cellStyle name="20% - akcent 2 73" xfId="746"/>
    <cellStyle name="20% - akcent 2 73 2" xfId="747"/>
    <cellStyle name="20% - akcent 2 74" xfId="748"/>
    <cellStyle name="20% - akcent 2 74 2" xfId="749"/>
    <cellStyle name="20% - akcent 2 75" xfId="750"/>
    <cellStyle name="20% - akcent 2 75 2" xfId="751"/>
    <cellStyle name="20% - akcent 2 76" xfId="752"/>
    <cellStyle name="20% - akcent 2 76 2" xfId="753"/>
    <cellStyle name="20% - akcent 2 77" xfId="754"/>
    <cellStyle name="20% - akcent 2 77 2" xfId="755"/>
    <cellStyle name="20% - akcent 2 78" xfId="756"/>
    <cellStyle name="20% - akcent 2 78 2" xfId="757"/>
    <cellStyle name="20% - akcent 2 79" xfId="758"/>
    <cellStyle name="20% - akcent 2 79 2" xfId="759"/>
    <cellStyle name="20% - akcent 2 8" xfId="760"/>
    <cellStyle name="20% - akcent 2 80" xfId="761"/>
    <cellStyle name="20% - akcent 2 80 2" xfId="762"/>
    <cellStyle name="20% - akcent 2 81" xfId="763"/>
    <cellStyle name="20% - akcent 2 81 2" xfId="764"/>
    <cellStyle name="20% - akcent 2 82" xfId="765"/>
    <cellStyle name="20% - akcent 2 82 2" xfId="766"/>
    <cellStyle name="20% - akcent 2 83" xfId="767"/>
    <cellStyle name="20% - akcent 2 83 2" xfId="768"/>
    <cellStyle name="20% - akcent 2 84" xfId="769"/>
    <cellStyle name="20% - akcent 2 84 2" xfId="770"/>
    <cellStyle name="20% - akcent 2 85" xfId="771"/>
    <cellStyle name="20% - akcent 2 85 2" xfId="772"/>
    <cellStyle name="20% - akcent 2 86" xfId="773"/>
    <cellStyle name="20% - akcent 2 86 2" xfId="774"/>
    <cellStyle name="20% - akcent 2 87" xfId="775"/>
    <cellStyle name="20% - akcent 2 87 2" xfId="776"/>
    <cellStyle name="20% - akcent 2 88" xfId="777"/>
    <cellStyle name="20% - akcent 2 88 2" xfId="778"/>
    <cellStyle name="20% - akcent 2 89" xfId="779"/>
    <cellStyle name="20% - akcent 2 89 2" xfId="780"/>
    <cellStyle name="20% - akcent 2 9" xfId="781"/>
    <cellStyle name="20% - akcent 2 90" xfId="782"/>
    <cellStyle name="20% - akcent 2 90 2" xfId="783"/>
    <cellStyle name="20% - akcent 2 91" xfId="784"/>
    <cellStyle name="20% - akcent 2 91 2" xfId="785"/>
    <cellStyle name="20% - akcent 2 92" xfId="786"/>
    <cellStyle name="20% - akcent 2 92 2" xfId="787"/>
    <cellStyle name="20% - akcent 2 93" xfId="788"/>
    <cellStyle name="20% - akcent 2 93 2" xfId="789"/>
    <cellStyle name="20% - akcent 2 94" xfId="790"/>
    <cellStyle name="20% - akcent 2 94 2" xfId="791"/>
    <cellStyle name="20% - akcent 2 95" xfId="792"/>
    <cellStyle name="20% - akcent 2 95 2" xfId="793"/>
    <cellStyle name="20% - akcent 2 96" xfId="794"/>
    <cellStyle name="20% - akcent 2 96 2" xfId="795"/>
    <cellStyle name="20% - akcent 2 97" xfId="796"/>
    <cellStyle name="20% - akcent 2 97 2" xfId="797"/>
    <cellStyle name="20% - akcent 2 98" xfId="798"/>
    <cellStyle name="20% - akcent 2 98 2" xfId="799"/>
    <cellStyle name="20% - akcent 2 99" xfId="800"/>
    <cellStyle name="20% - akcent 2 99 2" xfId="801"/>
    <cellStyle name="20% - akcent 3 10" xfId="802"/>
    <cellStyle name="20% - akcent 3 100" xfId="803"/>
    <cellStyle name="20% - akcent 3 100 2" xfId="804"/>
    <cellStyle name="20% - akcent 3 101" xfId="805"/>
    <cellStyle name="20% - akcent 3 101 2" xfId="806"/>
    <cellStyle name="20% - akcent 3 102" xfId="807"/>
    <cellStyle name="20% - akcent 3 102 2" xfId="808"/>
    <cellStyle name="20% - akcent 3 103" xfId="809"/>
    <cellStyle name="20% - akcent 3 103 2" xfId="810"/>
    <cellStyle name="20% - akcent 3 104" xfId="811"/>
    <cellStyle name="20% - akcent 3 104 2" xfId="812"/>
    <cellStyle name="20% - akcent 3 105" xfId="813"/>
    <cellStyle name="20% - akcent 3 105 2" xfId="814"/>
    <cellStyle name="20% - akcent 3 106" xfId="815"/>
    <cellStyle name="20% - akcent 3 106 2" xfId="816"/>
    <cellStyle name="20% - akcent 3 107" xfId="817"/>
    <cellStyle name="20% - akcent 3 107 2" xfId="818"/>
    <cellStyle name="20% - akcent 3 108" xfId="819"/>
    <cellStyle name="20% - akcent 3 108 2" xfId="820"/>
    <cellStyle name="20% - akcent 3 109" xfId="821"/>
    <cellStyle name="20% - akcent 3 109 2" xfId="822"/>
    <cellStyle name="20% - akcent 3 11" xfId="823"/>
    <cellStyle name="20% - akcent 3 110" xfId="824"/>
    <cellStyle name="20% - akcent 3 110 2" xfId="825"/>
    <cellStyle name="20% - akcent 3 111" xfId="826"/>
    <cellStyle name="20% - akcent 3 111 2" xfId="827"/>
    <cellStyle name="20% - akcent 3 112" xfId="828"/>
    <cellStyle name="20% - akcent 3 112 2" xfId="829"/>
    <cellStyle name="20% - akcent 3 113" xfId="830"/>
    <cellStyle name="20% - akcent 3 113 2" xfId="831"/>
    <cellStyle name="20% - akcent 3 114" xfId="832"/>
    <cellStyle name="20% - akcent 3 114 2" xfId="833"/>
    <cellStyle name="20% - akcent 3 115" xfId="834"/>
    <cellStyle name="20% - akcent 3 115 2" xfId="835"/>
    <cellStyle name="20% - akcent 3 116" xfId="836"/>
    <cellStyle name="20% - akcent 3 116 2" xfId="837"/>
    <cellStyle name="20% - akcent 3 117" xfId="838"/>
    <cellStyle name="20% - akcent 3 117 2" xfId="839"/>
    <cellStyle name="20% - akcent 3 118" xfId="840"/>
    <cellStyle name="20% - akcent 3 118 2" xfId="841"/>
    <cellStyle name="20% - akcent 3 119" xfId="842"/>
    <cellStyle name="20% - akcent 3 119 2" xfId="843"/>
    <cellStyle name="20% - akcent 3 12" xfId="844"/>
    <cellStyle name="20% - akcent 3 120" xfId="845"/>
    <cellStyle name="20% - akcent 3 121" xfId="846"/>
    <cellStyle name="20% - akcent 3 13" xfId="847"/>
    <cellStyle name="20% - akcent 3 14" xfId="848"/>
    <cellStyle name="20% - akcent 3 15" xfId="849"/>
    <cellStyle name="20% - akcent 3 16" xfId="850"/>
    <cellStyle name="20% - akcent 3 17" xfId="851"/>
    <cellStyle name="20% - akcent 3 18" xfId="852"/>
    <cellStyle name="20% - akcent 3 19" xfId="853"/>
    <cellStyle name="20% - akcent 3 2" xfId="854"/>
    <cellStyle name="20% - akcent 3 2 10" xfId="855"/>
    <cellStyle name="20% - akcent 3 2 10 2" xfId="856"/>
    <cellStyle name="20% - akcent 3 2 10 3" xfId="857"/>
    <cellStyle name="20% - akcent 3 2 10 4" xfId="858"/>
    <cellStyle name="20% - akcent 3 2 10 5" xfId="859"/>
    <cellStyle name="20% - akcent 3 2 10 6" xfId="860"/>
    <cellStyle name="20% - akcent 3 2 11" xfId="861"/>
    <cellStyle name="20% - akcent 3 2 11 2" xfId="862"/>
    <cellStyle name="20% - akcent 3 2 11 3" xfId="863"/>
    <cellStyle name="20% - akcent 3 2 11 4" xfId="864"/>
    <cellStyle name="20% - akcent 3 2 11 5" xfId="865"/>
    <cellStyle name="20% - akcent 3 2 11 6" xfId="866"/>
    <cellStyle name="20% - akcent 3 2 12" xfId="867"/>
    <cellStyle name="20% - akcent 3 2 12 2" xfId="868"/>
    <cellStyle name="20% - akcent 3 2 12 3" xfId="869"/>
    <cellStyle name="20% - akcent 3 2 12 4" xfId="870"/>
    <cellStyle name="20% - akcent 3 2 12 5" xfId="871"/>
    <cellStyle name="20% - akcent 3 2 12 6" xfId="872"/>
    <cellStyle name="20% - akcent 3 2 13" xfId="873"/>
    <cellStyle name="20% - akcent 3 2 13 2" xfId="874"/>
    <cellStyle name="20% - akcent 3 2 13 3" xfId="875"/>
    <cellStyle name="20% - akcent 3 2 13 4" xfId="876"/>
    <cellStyle name="20% - akcent 3 2 13 5" xfId="877"/>
    <cellStyle name="20% - akcent 3 2 13 6" xfId="878"/>
    <cellStyle name="20% - akcent 3 2 14" xfId="879"/>
    <cellStyle name="20% - akcent 3 2 14 2" xfId="880"/>
    <cellStyle name="20% - akcent 3 2 14 3" xfId="881"/>
    <cellStyle name="20% - akcent 3 2 14 4" xfId="882"/>
    <cellStyle name="20% - akcent 3 2 14 5" xfId="883"/>
    <cellStyle name="20% - akcent 3 2 14 6" xfId="884"/>
    <cellStyle name="20% - akcent 3 2 15" xfId="885"/>
    <cellStyle name="20% - akcent 3 2 15 2" xfId="886"/>
    <cellStyle name="20% - akcent 3 2 15 3" xfId="887"/>
    <cellStyle name="20% - akcent 3 2 15 4" xfId="888"/>
    <cellStyle name="20% - akcent 3 2 15 5" xfId="889"/>
    <cellStyle name="20% - akcent 3 2 15 6" xfId="890"/>
    <cellStyle name="20% - akcent 3 2 16" xfId="891"/>
    <cellStyle name="20% - akcent 3 2 16 2" xfId="892"/>
    <cellStyle name="20% - akcent 3 2 16 3" xfId="893"/>
    <cellStyle name="20% - akcent 3 2 16 4" xfId="894"/>
    <cellStyle name="20% - akcent 3 2 16 5" xfId="895"/>
    <cellStyle name="20% - akcent 3 2 16 6" xfId="896"/>
    <cellStyle name="20% - akcent 3 2 17" xfId="897"/>
    <cellStyle name="20% - akcent 3 2 17 2" xfId="898"/>
    <cellStyle name="20% - akcent 3 2 17 3" xfId="899"/>
    <cellStyle name="20% - akcent 3 2 17 4" xfId="900"/>
    <cellStyle name="20% - akcent 3 2 17 5" xfId="901"/>
    <cellStyle name="20% - akcent 3 2 17 6" xfId="902"/>
    <cellStyle name="20% - akcent 3 2 18" xfId="903"/>
    <cellStyle name="20% - akcent 3 2 18 2" xfId="904"/>
    <cellStyle name="20% - akcent 3 2 18 3" xfId="905"/>
    <cellStyle name="20% - akcent 3 2 18 4" xfId="906"/>
    <cellStyle name="20% - akcent 3 2 18 5" xfId="907"/>
    <cellStyle name="20% - akcent 3 2 18 6" xfId="908"/>
    <cellStyle name="20% - akcent 3 2 19" xfId="909"/>
    <cellStyle name="20% - akcent 3 2 19 2" xfId="910"/>
    <cellStyle name="20% - akcent 3 2 19 3" xfId="911"/>
    <cellStyle name="20% - akcent 3 2 19 4" xfId="912"/>
    <cellStyle name="20% - akcent 3 2 19 5" xfId="913"/>
    <cellStyle name="20% - akcent 3 2 19 6" xfId="914"/>
    <cellStyle name="20% - akcent 3 2 2" xfId="915"/>
    <cellStyle name="20% - akcent 3 2 2 2" xfId="916"/>
    <cellStyle name="20% - akcent 3 2 2 3" xfId="917"/>
    <cellStyle name="20% - akcent 3 2 2 4" xfId="918"/>
    <cellStyle name="20% - akcent 3 2 2 5" xfId="919"/>
    <cellStyle name="20% - akcent 3 2 2 6" xfId="920"/>
    <cellStyle name="20% - akcent 3 2 2 7" xfId="921"/>
    <cellStyle name="20% - akcent 3 2 20" xfId="922"/>
    <cellStyle name="20% - akcent 3 2 20 2" xfId="923"/>
    <cellStyle name="20% - akcent 3 2 20 3" xfId="924"/>
    <cellStyle name="20% - akcent 3 2 20 4" xfId="925"/>
    <cellStyle name="20% - akcent 3 2 20 5" xfId="926"/>
    <cellStyle name="20% - akcent 3 2 20 6" xfId="927"/>
    <cellStyle name="20% - akcent 3 2 21" xfId="928"/>
    <cellStyle name="20% - akcent 3 2 21 2" xfId="929"/>
    <cellStyle name="20% - akcent 3 2 21 3" xfId="930"/>
    <cellStyle name="20% - akcent 3 2 21 4" xfId="931"/>
    <cellStyle name="20% - akcent 3 2 21 5" xfId="932"/>
    <cellStyle name="20% - akcent 3 2 21 6" xfId="933"/>
    <cellStyle name="20% - akcent 3 2 22" xfId="934"/>
    <cellStyle name="20% - akcent 3 2 22 2" xfId="935"/>
    <cellStyle name="20% - akcent 3 2 22 3" xfId="936"/>
    <cellStyle name="20% - akcent 3 2 22 4" xfId="937"/>
    <cellStyle name="20% - akcent 3 2 22 5" xfId="938"/>
    <cellStyle name="20% - akcent 3 2 22 6" xfId="939"/>
    <cellStyle name="20% - akcent 3 2 23" xfId="940"/>
    <cellStyle name="20% - akcent 3 2 23 2" xfId="941"/>
    <cellStyle name="20% - akcent 3 2 23 3" xfId="942"/>
    <cellStyle name="20% - akcent 3 2 23 4" xfId="943"/>
    <cellStyle name="20% - akcent 3 2 23 5" xfId="944"/>
    <cellStyle name="20% - akcent 3 2 23 6" xfId="945"/>
    <cellStyle name="20% - akcent 3 2 24" xfId="946"/>
    <cellStyle name="20% - akcent 3 2 24 2" xfId="947"/>
    <cellStyle name="20% - akcent 3 2 24 3" xfId="948"/>
    <cellStyle name="20% - akcent 3 2 24 4" xfId="949"/>
    <cellStyle name="20% - akcent 3 2 24 5" xfId="950"/>
    <cellStyle name="20% - akcent 3 2 24 6" xfId="951"/>
    <cellStyle name="20% - akcent 3 2 25" xfId="952"/>
    <cellStyle name="20% - akcent 3 2 25 2" xfId="953"/>
    <cellStyle name="20% - akcent 3 2 25 3" xfId="954"/>
    <cellStyle name="20% - akcent 3 2 25 4" xfId="955"/>
    <cellStyle name="20% - akcent 3 2 25 5" xfId="956"/>
    <cellStyle name="20% - akcent 3 2 25 6" xfId="957"/>
    <cellStyle name="20% - akcent 3 2 26" xfId="958"/>
    <cellStyle name="20% - akcent 3 2 26 2" xfId="959"/>
    <cellStyle name="20% - akcent 3 2 26 3" xfId="960"/>
    <cellStyle name="20% - akcent 3 2 26 4" xfId="961"/>
    <cellStyle name="20% - akcent 3 2 26 5" xfId="962"/>
    <cellStyle name="20% - akcent 3 2 26 6" xfId="963"/>
    <cellStyle name="20% - akcent 3 2 27" xfId="964"/>
    <cellStyle name="20% - akcent 3 2 27 2" xfId="965"/>
    <cellStyle name="20% - akcent 3 2 27 3" xfId="966"/>
    <cellStyle name="20% - akcent 3 2 27 4" xfId="967"/>
    <cellStyle name="20% - akcent 3 2 27 5" xfId="968"/>
    <cellStyle name="20% - akcent 3 2 27 6" xfId="969"/>
    <cellStyle name="20% - akcent 3 2 28" xfId="970"/>
    <cellStyle name="20% - akcent 3 2 28 2" xfId="971"/>
    <cellStyle name="20% - akcent 3 2 28 3" xfId="972"/>
    <cellStyle name="20% - akcent 3 2 28 4" xfId="973"/>
    <cellStyle name="20% - akcent 3 2 28 5" xfId="974"/>
    <cellStyle name="20% - akcent 3 2 28 6" xfId="975"/>
    <cellStyle name="20% - akcent 3 2 29" xfId="976"/>
    <cellStyle name="20% - akcent 3 2 29 2" xfId="977"/>
    <cellStyle name="20% - akcent 3 2 3" xfId="978"/>
    <cellStyle name="20% - akcent 3 2 3 2" xfId="979"/>
    <cellStyle name="20% - akcent 3 2 3 3" xfId="980"/>
    <cellStyle name="20% - akcent 3 2 3 4" xfId="981"/>
    <cellStyle name="20% - akcent 3 2 3 5" xfId="982"/>
    <cellStyle name="20% - akcent 3 2 3 6" xfId="983"/>
    <cellStyle name="20% - akcent 3 2 3 7" xfId="984"/>
    <cellStyle name="20% - akcent 3 2 30" xfId="985"/>
    <cellStyle name="20% - akcent 3 2 30 2" xfId="986"/>
    <cellStyle name="20% - akcent 3 2 31" xfId="987"/>
    <cellStyle name="20% - akcent 3 2 31 2" xfId="988"/>
    <cellStyle name="20% - akcent 3 2 32" xfId="989"/>
    <cellStyle name="20% - akcent 3 2 32 2" xfId="990"/>
    <cellStyle name="20% - akcent 3 2 33" xfId="991"/>
    <cellStyle name="20% - akcent 3 2 34" xfId="992"/>
    <cellStyle name="20% - akcent 3 2 35" xfId="993"/>
    <cellStyle name="20% - akcent 3 2 36" xfId="994"/>
    <cellStyle name="20% - akcent 3 2 37" xfId="995"/>
    <cellStyle name="20% - akcent 3 2 38" xfId="996"/>
    <cellStyle name="20% - akcent 3 2 39" xfId="997"/>
    <cellStyle name="20% - akcent 3 2 4" xfId="998"/>
    <cellStyle name="20% - akcent 3 2 4 2" xfId="999"/>
    <cellStyle name="20% - akcent 3 2 4 3" xfId="1000"/>
    <cellStyle name="20% - akcent 3 2 4 4" xfId="1001"/>
    <cellStyle name="20% - akcent 3 2 4 5" xfId="1002"/>
    <cellStyle name="20% - akcent 3 2 4 6" xfId="1003"/>
    <cellStyle name="20% - akcent 3 2 4 7" xfId="1004"/>
    <cellStyle name="20% - akcent 3 2 40" xfId="1005"/>
    <cellStyle name="20% - akcent 3 2 41" xfId="1006"/>
    <cellStyle name="20% - akcent 3 2 42" xfId="1007"/>
    <cellStyle name="20% - akcent 3 2 43" xfId="1008"/>
    <cellStyle name="20% - akcent 3 2 44" xfId="1009"/>
    <cellStyle name="20% - akcent 3 2 45" xfId="1010"/>
    <cellStyle name="20% - akcent 3 2 46" xfId="1011"/>
    <cellStyle name="20% - akcent 3 2 47" xfId="1012"/>
    <cellStyle name="20% - akcent 3 2 48" xfId="1013"/>
    <cellStyle name="20% - akcent 3 2 49" xfId="1014"/>
    <cellStyle name="20% - akcent 3 2 5" xfId="1015"/>
    <cellStyle name="20% - akcent 3 2 5 2" xfId="1016"/>
    <cellStyle name="20% - akcent 3 2 5 3" xfId="1017"/>
    <cellStyle name="20% - akcent 3 2 5 4" xfId="1018"/>
    <cellStyle name="20% - akcent 3 2 5 5" xfId="1019"/>
    <cellStyle name="20% - akcent 3 2 5 6" xfId="1020"/>
    <cellStyle name="20% - akcent 3 2 50" xfId="1021"/>
    <cellStyle name="20% - akcent 3 2 51" xfId="1022"/>
    <cellStyle name="20% - akcent 3 2 6" xfId="1023"/>
    <cellStyle name="20% - akcent 3 2 6 2" xfId="1024"/>
    <cellStyle name="20% - akcent 3 2 6 3" xfId="1025"/>
    <cellStyle name="20% - akcent 3 2 6 4" xfId="1026"/>
    <cellStyle name="20% - akcent 3 2 6 5" xfId="1027"/>
    <cellStyle name="20% - akcent 3 2 6 6" xfId="1028"/>
    <cellStyle name="20% - akcent 3 2 7" xfId="1029"/>
    <cellStyle name="20% - akcent 3 2 7 2" xfId="1030"/>
    <cellStyle name="20% - akcent 3 2 7 3" xfId="1031"/>
    <cellStyle name="20% - akcent 3 2 7 4" xfId="1032"/>
    <cellStyle name="20% - akcent 3 2 7 5" xfId="1033"/>
    <cellStyle name="20% - akcent 3 2 7 6" xfId="1034"/>
    <cellStyle name="20% - akcent 3 2 8" xfId="1035"/>
    <cellStyle name="20% - akcent 3 2 8 2" xfId="1036"/>
    <cellStyle name="20% - akcent 3 2 8 3" xfId="1037"/>
    <cellStyle name="20% - akcent 3 2 8 4" xfId="1038"/>
    <cellStyle name="20% - akcent 3 2 8 5" xfId="1039"/>
    <cellStyle name="20% - akcent 3 2 8 6" xfId="1040"/>
    <cellStyle name="20% - akcent 3 2 9" xfId="1041"/>
    <cellStyle name="20% - akcent 3 2 9 2" xfId="1042"/>
    <cellStyle name="20% - akcent 3 2 9 3" xfId="1043"/>
    <cellStyle name="20% - akcent 3 2 9 4" xfId="1044"/>
    <cellStyle name="20% - akcent 3 2 9 5" xfId="1045"/>
    <cellStyle name="20% - akcent 3 2 9 6" xfId="1046"/>
    <cellStyle name="20% - akcent 3 20" xfId="1047"/>
    <cellStyle name="20% - akcent 3 21" xfId="1048"/>
    <cellStyle name="20% - akcent 3 22" xfId="1049"/>
    <cellStyle name="20% - akcent 3 23" xfId="1050"/>
    <cellStyle name="20% - akcent 3 24" xfId="1051"/>
    <cellStyle name="20% - akcent 3 25" xfId="1052"/>
    <cellStyle name="20% - akcent 3 26" xfId="1053"/>
    <cellStyle name="20% - akcent 3 27" xfId="1054"/>
    <cellStyle name="20% - akcent 3 28" xfId="1055"/>
    <cellStyle name="20% - akcent 3 29" xfId="1056"/>
    <cellStyle name="20% - akcent 3 3" xfId="1057"/>
    <cellStyle name="20% - akcent 3 3 2" xfId="1058"/>
    <cellStyle name="20% - akcent 3 3 2 2" xfId="1059"/>
    <cellStyle name="20% - akcent 3 3 3" xfId="1060"/>
    <cellStyle name="20% - akcent 3 3 3 2" xfId="1061"/>
    <cellStyle name="20% - akcent 3 3 4" xfId="1062"/>
    <cellStyle name="20% - akcent 3 3 4 2" xfId="1063"/>
    <cellStyle name="20% - akcent 3 3 5" xfId="1064"/>
    <cellStyle name="20% - akcent 3 3 6" xfId="1065"/>
    <cellStyle name="20% - akcent 3 3 7" xfId="1066"/>
    <cellStyle name="20% - akcent 3 3 8" xfId="1067"/>
    <cellStyle name="20% - akcent 3 30" xfId="1068"/>
    <cellStyle name="20% - akcent 3 30 2" xfId="1069"/>
    <cellStyle name="20% - akcent 3 31" xfId="1070"/>
    <cellStyle name="20% - akcent 3 31 2" xfId="1071"/>
    <cellStyle name="20% - akcent 3 32" xfId="1072"/>
    <cellStyle name="20% - akcent 3 32 2" xfId="1073"/>
    <cellStyle name="20% - akcent 3 33" xfId="1074"/>
    <cellStyle name="20% - akcent 3 33 2" xfId="1075"/>
    <cellStyle name="20% - akcent 3 34" xfId="1076"/>
    <cellStyle name="20% - akcent 3 34 2" xfId="1077"/>
    <cellStyle name="20% - akcent 3 35" xfId="1078"/>
    <cellStyle name="20% - akcent 3 35 2" xfId="1079"/>
    <cellStyle name="20% - akcent 3 36" xfId="1080"/>
    <cellStyle name="20% - akcent 3 36 2" xfId="1081"/>
    <cellStyle name="20% - akcent 3 37" xfId="1082"/>
    <cellStyle name="20% - akcent 3 37 2" xfId="1083"/>
    <cellStyle name="20% - akcent 3 38" xfId="1084"/>
    <cellStyle name="20% - akcent 3 38 2" xfId="1085"/>
    <cellStyle name="20% - akcent 3 39" xfId="1086"/>
    <cellStyle name="20% - akcent 3 39 2" xfId="1087"/>
    <cellStyle name="20% - akcent 3 4" xfId="1088"/>
    <cellStyle name="20% - akcent 3 4 2" xfId="1089"/>
    <cellStyle name="20% - akcent 3 4 2 2" xfId="1090"/>
    <cellStyle name="20% - akcent 3 4 3" xfId="1091"/>
    <cellStyle name="20% - akcent 3 4 3 2" xfId="1092"/>
    <cellStyle name="20% - akcent 3 4 4" xfId="1093"/>
    <cellStyle name="20% - akcent 3 4 4 2" xfId="1094"/>
    <cellStyle name="20% - akcent 3 4 5" xfId="1095"/>
    <cellStyle name="20% - akcent 3 4 6" xfId="1096"/>
    <cellStyle name="20% - akcent 3 4 7" xfId="1097"/>
    <cellStyle name="20% - akcent 3 4 8" xfId="1098"/>
    <cellStyle name="20% - akcent 3 40" xfId="1099"/>
    <cellStyle name="20% - akcent 3 40 2" xfId="1100"/>
    <cellStyle name="20% - akcent 3 41" xfId="1101"/>
    <cellStyle name="20% - akcent 3 41 2" xfId="1102"/>
    <cellStyle name="20% - akcent 3 42" xfId="1103"/>
    <cellStyle name="20% - akcent 3 42 2" xfId="1104"/>
    <cellStyle name="20% - akcent 3 43" xfId="1105"/>
    <cellStyle name="20% - akcent 3 43 2" xfId="1106"/>
    <cellStyle name="20% - akcent 3 44" xfId="1107"/>
    <cellStyle name="20% - akcent 3 44 2" xfId="1108"/>
    <cellStyle name="20% - akcent 3 45" xfId="1109"/>
    <cellStyle name="20% - akcent 3 45 2" xfId="1110"/>
    <cellStyle name="20% - akcent 3 46" xfId="1111"/>
    <cellStyle name="20% - akcent 3 46 2" xfId="1112"/>
    <cellStyle name="20% - akcent 3 47" xfId="1113"/>
    <cellStyle name="20% - akcent 3 47 2" xfId="1114"/>
    <cellStyle name="20% - akcent 3 48" xfId="1115"/>
    <cellStyle name="20% - akcent 3 48 2" xfId="1116"/>
    <cellStyle name="20% - akcent 3 49" xfId="1117"/>
    <cellStyle name="20% - akcent 3 49 2" xfId="1118"/>
    <cellStyle name="20% - akcent 3 5" xfId="1119"/>
    <cellStyle name="20% - akcent 3 5 2" xfId="1120"/>
    <cellStyle name="20% - akcent 3 5 3" xfId="1121"/>
    <cellStyle name="20% - akcent 3 50" xfId="1122"/>
    <cellStyle name="20% - akcent 3 50 2" xfId="1123"/>
    <cellStyle name="20% - akcent 3 51" xfId="1124"/>
    <cellStyle name="20% - akcent 3 51 2" xfId="1125"/>
    <cellStyle name="20% - akcent 3 52" xfId="1126"/>
    <cellStyle name="20% - akcent 3 52 2" xfId="1127"/>
    <cellStyle name="20% - akcent 3 53" xfId="1128"/>
    <cellStyle name="20% - akcent 3 53 2" xfId="1129"/>
    <cellStyle name="20% - akcent 3 54" xfId="1130"/>
    <cellStyle name="20% - akcent 3 54 2" xfId="1131"/>
    <cellStyle name="20% - akcent 3 55" xfId="1132"/>
    <cellStyle name="20% - akcent 3 55 2" xfId="1133"/>
    <cellStyle name="20% - akcent 3 56" xfId="1134"/>
    <cellStyle name="20% - akcent 3 56 2" xfId="1135"/>
    <cellStyle name="20% - akcent 3 57" xfId="1136"/>
    <cellStyle name="20% - akcent 3 57 2" xfId="1137"/>
    <cellStyle name="20% - akcent 3 58" xfId="1138"/>
    <cellStyle name="20% - akcent 3 58 2" xfId="1139"/>
    <cellStyle name="20% - akcent 3 59" xfId="1140"/>
    <cellStyle name="20% - akcent 3 59 2" xfId="1141"/>
    <cellStyle name="20% - akcent 3 6" xfId="1142"/>
    <cellStyle name="20% - akcent 3 60" xfId="1143"/>
    <cellStyle name="20% - akcent 3 60 2" xfId="1144"/>
    <cellStyle name="20% - akcent 3 61" xfId="1145"/>
    <cellStyle name="20% - akcent 3 61 2" xfId="1146"/>
    <cellStyle name="20% - akcent 3 62" xfId="1147"/>
    <cellStyle name="20% - akcent 3 62 2" xfId="1148"/>
    <cellStyle name="20% - akcent 3 63" xfId="1149"/>
    <cellStyle name="20% - akcent 3 63 2" xfId="1150"/>
    <cellStyle name="20% - akcent 3 64" xfId="1151"/>
    <cellStyle name="20% - akcent 3 64 2" xfId="1152"/>
    <cellStyle name="20% - akcent 3 65" xfId="1153"/>
    <cellStyle name="20% - akcent 3 65 2" xfId="1154"/>
    <cellStyle name="20% - akcent 3 66" xfId="1155"/>
    <cellStyle name="20% - akcent 3 66 2" xfId="1156"/>
    <cellStyle name="20% - akcent 3 67" xfId="1157"/>
    <cellStyle name="20% - akcent 3 67 2" xfId="1158"/>
    <cellStyle name="20% - akcent 3 68" xfId="1159"/>
    <cellStyle name="20% - akcent 3 68 2" xfId="1160"/>
    <cellStyle name="20% - akcent 3 69" xfId="1161"/>
    <cellStyle name="20% - akcent 3 69 2" xfId="1162"/>
    <cellStyle name="20% - akcent 3 7" xfId="1163"/>
    <cellStyle name="20% - akcent 3 70" xfId="1164"/>
    <cellStyle name="20% - akcent 3 70 2" xfId="1165"/>
    <cellStyle name="20% - akcent 3 71" xfId="1166"/>
    <cellStyle name="20% - akcent 3 71 2" xfId="1167"/>
    <cellStyle name="20% - akcent 3 72" xfId="1168"/>
    <cellStyle name="20% - akcent 3 72 2" xfId="1169"/>
    <cellStyle name="20% - akcent 3 73" xfId="1170"/>
    <cellStyle name="20% - akcent 3 73 2" xfId="1171"/>
    <cellStyle name="20% - akcent 3 74" xfId="1172"/>
    <cellStyle name="20% - akcent 3 74 2" xfId="1173"/>
    <cellStyle name="20% - akcent 3 75" xfId="1174"/>
    <cellStyle name="20% - akcent 3 75 2" xfId="1175"/>
    <cellStyle name="20% - akcent 3 76" xfId="1176"/>
    <cellStyle name="20% - akcent 3 76 2" xfId="1177"/>
    <cellStyle name="20% - akcent 3 77" xfId="1178"/>
    <cellStyle name="20% - akcent 3 77 2" xfId="1179"/>
    <cellStyle name="20% - akcent 3 78" xfId="1180"/>
    <cellStyle name="20% - akcent 3 78 2" xfId="1181"/>
    <cellStyle name="20% - akcent 3 79" xfId="1182"/>
    <cellStyle name="20% - akcent 3 79 2" xfId="1183"/>
    <cellStyle name="20% - akcent 3 8" xfId="1184"/>
    <cellStyle name="20% - akcent 3 80" xfId="1185"/>
    <cellStyle name="20% - akcent 3 80 2" xfId="1186"/>
    <cellStyle name="20% - akcent 3 81" xfId="1187"/>
    <cellStyle name="20% - akcent 3 81 2" xfId="1188"/>
    <cellStyle name="20% - akcent 3 82" xfId="1189"/>
    <cellStyle name="20% - akcent 3 82 2" xfId="1190"/>
    <cellStyle name="20% - akcent 3 83" xfId="1191"/>
    <cellStyle name="20% - akcent 3 83 2" xfId="1192"/>
    <cellStyle name="20% - akcent 3 84" xfId="1193"/>
    <cellStyle name="20% - akcent 3 84 2" xfId="1194"/>
    <cellStyle name="20% - akcent 3 85" xfId="1195"/>
    <cellStyle name="20% - akcent 3 85 2" xfId="1196"/>
    <cellStyle name="20% - akcent 3 86" xfId="1197"/>
    <cellStyle name="20% - akcent 3 86 2" xfId="1198"/>
    <cellStyle name="20% - akcent 3 87" xfId="1199"/>
    <cellStyle name="20% - akcent 3 87 2" xfId="1200"/>
    <cellStyle name="20% - akcent 3 88" xfId="1201"/>
    <cellStyle name="20% - akcent 3 88 2" xfId="1202"/>
    <cellStyle name="20% - akcent 3 89" xfId="1203"/>
    <cellStyle name="20% - akcent 3 89 2" xfId="1204"/>
    <cellStyle name="20% - akcent 3 9" xfId="1205"/>
    <cellStyle name="20% - akcent 3 90" xfId="1206"/>
    <cellStyle name="20% - akcent 3 90 2" xfId="1207"/>
    <cellStyle name="20% - akcent 3 91" xfId="1208"/>
    <cellStyle name="20% - akcent 3 91 2" xfId="1209"/>
    <cellStyle name="20% - akcent 3 92" xfId="1210"/>
    <cellStyle name="20% - akcent 3 92 2" xfId="1211"/>
    <cellStyle name="20% - akcent 3 93" xfId="1212"/>
    <cellStyle name="20% - akcent 3 93 2" xfId="1213"/>
    <cellStyle name="20% - akcent 3 94" xfId="1214"/>
    <cellStyle name="20% - akcent 3 94 2" xfId="1215"/>
    <cellStyle name="20% - akcent 3 95" xfId="1216"/>
    <cellStyle name="20% - akcent 3 95 2" xfId="1217"/>
    <cellStyle name="20% - akcent 3 96" xfId="1218"/>
    <cellStyle name="20% - akcent 3 96 2" xfId="1219"/>
    <cellStyle name="20% - akcent 3 97" xfId="1220"/>
    <cellStyle name="20% - akcent 3 97 2" xfId="1221"/>
    <cellStyle name="20% - akcent 3 98" xfId="1222"/>
    <cellStyle name="20% - akcent 3 98 2" xfId="1223"/>
    <cellStyle name="20% - akcent 3 99" xfId="1224"/>
    <cellStyle name="20% - akcent 3 99 2" xfId="1225"/>
    <cellStyle name="20% - akcent 4 10" xfId="1226"/>
    <cellStyle name="20% - akcent 4 100" xfId="1227"/>
    <cellStyle name="20% - akcent 4 100 2" xfId="1228"/>
    <cellStyle name="20% - akcent 4 101" xfId="1229"/>
    <cellStyle name="20% - akcent 4 101 2" xfId="1230"/>
    <cellStyle name="20% - akcent 4 102" xfId="1231"/>
    <cellStyle name="20% - akcent 4 102 2" xfId="1232"/>
    <cellStyle name="20% - akcent 4 103" xfId="1233"/>
    <cellStyle name="20% - akcent 4 103 2" xfId="1234"/>
    <cellStyle name="20% - akcent 4 104" xfId="1235"/>
    <cellStyle name="20% - akcent 4 104 2" xfId="1236"/>
    <cellStyle name="20% - akcent 4 105" xfId="1237"/>
    <cellStyle name="20% - akcent 4 105 2" xfId="1238"/>
    <cellStyle name="20% - akcent 4 106" xfId="1239"/>
    <cellStyle name="20% - akcent 4 106 2" xfId="1240"/>
    <cellStyle name="20% - akcent 4 107" xfId="1241"/>
    <cellStyle name="20% - akcent 4 107 2" xfId="1242"/>
    <cellStyle name="20% - akcent 4 108" xfId="1243"/>
    <cellStyle name="20% - akcent 4 108 2" xfId="1244"/>
    <cellStyle name="20% - akcent 4 109" xfId="1245"/>
    <cellStyle name="20% - akcent 4 109 2" xfId="1246"/>
    <cellStyle name="20% - akcent 4 11" xfId="1247"/>
    <cellStyle name="20% - akcent 4 110" xfId="1248"/>
    <cellStyle name="20% - akcent 4 110 2" xfId="1249"/>
    <cellStyle name="20% - akcent 4 111" xfId="1250"/>
    <cellStyle name="20% - akcent 4 111 2" xfId="1251"/>
    <cellStyle name="20% - akcent 4 112" xfId="1252"/>
    <cellStyle name="20% - akcent 4 112 2" xfId="1253"/>
    <cellStyle name="20% - akcent 4 113" xfId="1254"/>
    <cellStyle name="20% - akcent 4 113 2" xfId="1255"/>
    <cellStyle name="20% - akcent 4 114" xfId="1256"/>
    <cellStyle name="20% - akcent 4 114 2" xfId="1257"/>
    <cellStyle name="20% - akcent 4 115" xfId="1258"/>
    <cellStyle name="20% - akcent 4 115 2" xfId="1259"/>
    <cellStyle name="20% - akcent 4 116" xfId="1260"/>
    <cellStyle name="20% - akcent 4 116 2" xfId="1261"/>
    <cellStyle name="20% - akcent 4 117" xfId="1262"/>
    <cellStyle name="20% - akcent 4 117 2" xfId="1263"/>
    <cellStyle name="20% - akcent 4 118" xfId="1264"/>
    <cellStyle name="20% - akcent 4 118 2" xfId="1265"/>
    <cellStyle name="20% - akcent 4 119" xfId="1266"/>
    <cellStyle name="20% - akcent 4 119 2" xfId="1267"/>
    <cellStyle name="20% - akcent 4 12" xfId="1268"/>
    <cellStyle name="20% - akcent 4 120" xfId="1269"/>
    <cellStyle name="20% - akcent 4 121" xfId="1270"/>
    <cellStyle name="20% - akcent 4 13" xfId="1271"/>
    <cellStyle name="20% - akcent 4 14" xfId="1272"/>
    <cellStyle name="20% - akcent 4 15" xfId="1273"/>
    <cellStyle name="20% - akcent 4 16" xfId="1274"/>
    <cellStyle name="20% - akcent 4 17" xfId="1275"/>
    <cellStyle name="20% - akcent 4 18" xfId="1276"/>
    <cellStyle name="20% - akcent 4 19" xfId="1277"/>
    <cellStyle name="20% - akcent 4 2" xfId="1278"/>
    <cellStyle name="20% - akcent 4 2 10" xfId="1279"/>
    <cellStyle name="20% - akcent 4 2 10 2" xfId="1280"/>
    <cellStyle name="20% - akcent 4 2 10 3" xfId="1281"/>
    <cellStyle name="20% - akcent 4 2 10 4" xfId="1282"/>
    <cellStyle name="20% - akcent 4 2 10 5" xfId="1283"/>
    <cellStyle name="20% - akcent 4 2 10 6" xfId="1284"/>
    <cellStyle name="20% - akcent 4 2 11" xfId="1285"/>
    <cellStyle name="20% - akcent 4 2 11 2" xfId="1286"/>
    <cellStyle name="20% - akcent 4 2 11 3" xfId="1287"/>
    <cellStyle name="20% - akcent 4 2 11 4" xfId="1288"/>
    <cellStyle name="20% - akcent 4 2 11 5" xfId="1289"/>
    <cellStyle name="20% - akcent 4 2 11 6" xfId="1290"/>
    <cellStyle name="20% - akcent 4 2 12" xfId="1291"/>
    <cellStyle name="20% - akcent 4 2 12 2" xfId="1292"/>
    <cellStyle name="20% - akcent 4 2 12 3" xfId="1293"/>
    <cellStyle name="20% - akcent 4 2 12 4" xfId="1294"/>
    <cellStyle name="20% - akcent 4 2 12 5" xfId="1295"/>
    <cellStyle name="20% - akcent 4 2 12 6" xfId="1296"/>
    <cellStyle name="20% - akcent 4 2 13" xfId="1297"/>
    <cellStyle name="20% - akcent 4 2 13 2" xfId="1298"/>
    <cellStyle name="20% - akcent 4 2 13 3" xfId="1299"/>
    <cellStyle name="20% - akcent 4 2 13 4" xfId="1300"/>
    <cellStyle name="20% - akcent 4 2 13 5" xfId="1301"/>
    <cellStyle name="20% - akcent 4 2 13 6" xfId="1302"/>
    <cellStyle name="20% - akcent 4 2 14" xfId="1303"/>
    <cellStyle name="20% - akcent 4 2 14 2" xfId="1304"/>
    <cellStyle name="20% - akcent 4 2 14 3" xfId="1305"/>
    <cellStyle name="20% - akcent 4 2 14 4" xfId="1306"/>
    <cellStyle name="20% - akcent 4 2 14 5" xfId="1307"/>
    <cellStyle name="20% - akcent 4 2 14 6" xfId="1308"/>
    <cellStyle name="20% - akcent 4 2 15" xfId="1309"/>
    <cellStyle name="20% - akcent 4 2 15 2" xfId="1310"/>
    <cellStyle name="20% - akcent 4 2 15 3" xfId="1311"/>
    <cellStyle name="20% - akcent 4 2 15 4" xfId="1312"/>
    <cellStyle name="20% - akcent 4 2 15 5" xfId="1313"/>
    <cellStyle name="20% - akcent 4 2 15 6" xfId="1314"/>
    <cellStyle name="20% - akcent 4 2 16" xfId="1315"/>
    <cellStyle name="20% - akcent 4 2 16 2" xfId="1316"/>
    <cellStyle name="20% - akcent 4 2 16 3" xfId="1317"/>
    <cellStyle name="20% - akcent 4 2 16 4" xfId="1318"/>
    <cellStyle name="20% - akcent 4 2 16 5" xfId="1319"/>
    <cellStyle name="20% - akcent 4 2 16 6" xfId="1320"/>
    <cellStyle name="20% - akcent 4 2 17" xfId="1321"/>
    <cellStyle name="20% - akcent 4 2 17 2" xfId="1322"/>
    <cellStyle name="20% - akcent 4 2 17 3" xfId="1323"/>
    <cellStyle name="20% - akcent 4 2 17 4" xfId="1324"/>
    <cellStyle name="20% - akcent 4 2 17 5" xfId="1325"/>
    <cellStyle name="20% - akcent 4 2 17 6" xfId="1326"/>
    <cellStyle name="20% - akcent 4 2 18" xfId="1327"/>
    <cellStyle name="20% - akcent 4 2 18 2" xfId="1328"/>
    <cellStyle name="20% - akcent 4 2 18 3" xfId="1329"/>
    <cellStyle name="20% - akcent 4 2 18 4" xfId="1330"/>
    <cellStyle name="20% - akcent 4 2 18 5" xfId="1331"/>
    <cellStyle name="20% - akcent 4 2 18 6" xfId="1332"/>
    <cellStyle name="20% - akcent 4 2 19" xfId="1333"/>
    <cellStyle name="20% - akcent 4 2 19 2" xfId="1334"/>
    <cellStyle name="20% - akcent 4 2 19 3" xfId="1335"/>
    <cellStyle name="20% - akcent 4 2 19 4" xfId="1336"/>
    <cellStyle name="20% - akcent 4 2 19 5" xfId="1337"/>
    <cellStyle name="20% - akcent 4 2 19 6" xfId="1338"/>
    <cellStyle name="20% - akcent 4 2 2" xfId="1339"/>
    <cellStyle name="20% - akcent 4 2 2 2" xfId="1340"/>
    <cellStyle name="20% - akcent 4 2 2 3" xfId="1341"/>
    <cellStyle name="20% - akcent 4 2 2 4" xfId="1342"/>
    <cellStyle name="20% - akcent 4 2 2 5" xfId="1343"/>
    <cellStyle name="20% - akcent 4 2 2 6" xfId="1344"/>
    <cellStyle name="20% - akcent 4 2 2 7" xfId="1345"/>
    <cellStyle name="20% - akcent 4 2 20" xfId="1346"/>
    <cellStyle name="20% - akcent 4 2 20 2" xfId="1347"/>
    <cellStyle name="20% - akcent 4 2 20 3" xfId="1348"/>
    <cellStyle name="20% - akcent 4 2 20 4" xfId="1349"/>
    <cellStyle name="20% - akcent 4 2 20 5" xfId="1350"/>
    <cellStyle name="20% - akcent 4 2 20 6" xfId="1351"/>
    <cellStyle name="20% - akcent 4 2 21" xfId="1352"/>
    <cellStyle name="20% - akcent 4 2 21 2" xfId="1353"/>
    <cellStyle name="20% - akcent 4 2 21 3" xfId="1354"/>
    <cellStyle name="20% - akcent 4 2 21 4" xfId="1355"/>
    <cellStyle name="20% - akcent 4 2 21 5" xfId="1356"/>
    <cellStyle name="20% - akcent 4 2 21 6" xfId="1357"/>
    <cellStyle name="20% - akcent 4 2 22" xfId="1358"/>
    <cellStyle name="20% - akcent 4 2 22 2" xfId="1359"/>
    <cellStyle name="20% - akcent 4 2 22 3" xfId="1360"/>
    <cellStyle name="20% - akcent 4 2 22 4" xfId="1361"/>
    <cellStyle name="20% - akcent 4 2 22 5" xfId="1362"/>
    <cellStyle name="20% - akcent 4 2 22 6" xfId="1363"/>
    <cellStyle name="20% - akcent 4 2 23" xfId="1364"/>
    <cellStyle name="20% - akcent 4 2 23 2" xfId="1365"/>
    <cellStyle name="20% - akcent 4 2 23 3" xfId="1366"/>
    <cellStyle name="20% - akcent 4 2 23 4" xfId="1367"/>
    <cellStyle name="20% - akcent 4 2 23 5" xfId="1368"/>
    <cellStyle name="20% - akcent 4 2 23 6" xfId="1369"/>
    <cellStyle name="20% - akcent 4 2 24" xfId="1370"/>
    <cellStyle name="20% - akcent 4 2 24 2" xfId="1371"/>
    <cellStyle name="20% - akcent 4 2 24 3" xfId="1372"/>
    <cellStyle name="20% - akcent 4 2 24 4" xfId="1373"/>
    <cellStyle name="20% - akcent 4 2 24 5" xfId="1374"/>
    <cellStyle name="20% - akcent 4 2 24 6" xfId="1375"/>
    <cellStyle name="20% - akcent 4 2 25" xfId="1376"/>
    <cellStyle name="20% - akcent 4 2 25 2" xfId="1377"/>
    <cellStyle name="20% - akcent 4 2 25 3" xfId="1378"/>
    <cellStyle name="20% - akcent 4 2 25 4" xfId="1379"/>
    <cellStyle name="20% - akcent 4 2 25 5" xfId="1380"/>
    <cellStyle name="20% - akcent 4 2 25 6" xfId="1381"/>
    <cellStyle name="20% - akcent 4 2 26" xfId="1382"/>
    <cellStyle name="20% - akcent 4 2 26 2" xfId="1383"/>
    <cellStyle name="20% - akcent 4 2 26 3" xfId="1384"/>
    <cellStyle name="20% - akcent 4 2 26 4" xfId="1385"/>
    <cellStyle name="20% - akcent 4 2 26 5" xfId="1386"/>
    <cellStyle name="20% - akcent 4 2 26 6" xfId="1387"/>
    <cellStyle name="20% - akcent 4 2 27" xfId="1388"/>
    <cellStyle name="20% - akcent 4 2 27 2" xfId="1389"/>
    <cellStyle name="20% - akcent 4 2 27 3" xfId="1390"/>
    <cellStyle name="20% - akcent 4 2 27 4" xfId="1391"/>
    <cellStyle name="20% - akcent 4 2 27 5" xfId="1392"/>
    <cellStyle name="20% - akcent 4 2 27 6" xfId="1393"/>
    <cellStyle name="20% - akcent 4 2 28" xfId="1394"/>
    <cellStyle name="20% - akcent 4 2 28 2" xfId="1395"/>
    <cellStyle name="20% - akcent 4 2 28 3" xfId="1396"/>
    <cellStyle name="20% - akcent 4 2 28 4" xfId="1397"/>
    <cellStyle name="20% - akcent 4 2 28 5" xfId="1398"/>
    <cellStyle name="20% - akcent 4 2 28 6" xfId="1399"/>
    <cellStyle name="20% - akcent 4 2 29" xfId="1400"/>
    <cellStyle name="20% - akcent 4 2 29 2" xfId="1401"/>
    <cellStyle name="20% - akcent 4 2 3" xfId="1402"/>
    <cellStyle name="20% - akcent 4 2 3 2" xfId="1403"/>
    <cellStyle name="20% - akcent 4 2 3 3" xfId="1404"/>
    <cellStyle name="20% - akcent 4 2 3 4" xfId="1405"/>
    <cellStyle name="20% - akcent 4 2 3 5" xfId="1406"/>
    <cellStyle name="20% - akcent 4 2 3 6" xfId="1407"/>
    <cellStyle name="20% - akcent 4 2 3 7" xfId="1408"/>
    <cellStyle name="20% - akcent 4 2 30" xfId="1409"/>
    <cellStyle name="20% - akcent 4 2 30 2" xfId="1410"/>
    <cellStyle name="20% - akcent 4 2 31" xfId="1411"/>
    <cellStyle name="20% - akcent 4 2 31 2" xfId="1412"/>
    <cellStyle name="20% - akcent 4 2 32" xfId="1413"/>
    <cellStyle name="20% - akcent 4 2 32 2" xfId="1414"/>
    <cellStyle name="20% - akcent 4 2 33" xfId="1415"/>
    <cellStyle name="20% - akcent 4 2 34" xfId="1416"/>
    <cellStyle name="20% - akcent 4 2 35" xfId="1417"/>
    <cellStyle name="20% - akcent 4 2 36" xfId="1418"/>
    <cellStyle name="20% - akcent 4 2 37" xfId="1419"/>
    <cellStyle name="20% - akcent 4 2 38" xfId="1420"/>
    <cellStyle name="20% - akcent 4 2 39" xfId="1421"/>
    <cellStyle name="20% - akcent 4 2 4" xfId="1422"/>
    <cellStyle name="20% - akcent 4 2 4 2" xfId="1423"/>
    <cellStyle name="20% - akcent 4 2 4 3" xfId="1424"/>
    <cellStyle name="20% - akcent 4 2 4 4" xfId="1425"/>
    <cellStyle name="20% - akcent 4 2 4 5" xfId="1426"/>
    <cellStyle name="20% - akcent 4 2 4 6" xfId="1427"/>
    <cellStyle name="20% - akcent 4 2 4 7" xfId="1428"/>
    <cellStyle name="20% - akcent 4 2 40" xfId="1429"/>
    <cellStyle name="20% - akcent 4 2 41" xfId="1430"/>
    <cellStyle name="20% - akcent 4 2 42" xfId="1431"/>
    <cellStyle name="20% - akcent 4 2 43" xfId="1432"/>
    <cellStyle name="20% - akcent 4 2 44" xfId="1433"/>
    <cellStyle name="20% - akcent 4 2 45" xfId="1434"/>
    <cellStyle name="20% - akcent 4 2 46" xfId="1435"/>
    <cellStyle name="20% - akcent 4 2 47" xfId="1436"/>
    <cellStyle name="20% - akcent 4 2 48" xfId="1437"/>
    <cellStyle name="20% - akcent 4 2 49" xfId="1438"/>
    <cellStyle name="20% - akcent 4 2 5" xfId="1439"/>
    <cellStyle name="20% - akcent 4 2 5 2" xfId="1440"/>
    <cellStyle name="20% - akcent 4 2 5 3" xfId="1441"/>
    <cellStyle name="20% - akcent 4 2 5 4" xfId="1442"/>
    <cellStyle name="20% - akcent 4 2 5 5" xfId="1443"/>
    <cellStyle name="20% - akcent 4 2 5 6" xfId="1444"/>
    <cellStyle name="20% - akcent 4 2 50" xfId="1445"/>
    <cellStyle name="20% - akcent 4 2 51" xfId="1446"/>
    <cellStyle name="20% - akcent 4 2 6" xfId="1447"/>
    <cellStyle name="20% - akcent 4 2 6 2" xfId="1448"/>
    <cellStyle name="20% - akcent 4 2 6 3" xfId="1449"/>
    <cellStyle name="20% - akcent 4 2 6 4" xfId="1450"/>
    <cellStyle name="20% - akcent 4 2 6 5" xfId="1451"/>
    <cellStyle name="20% - akcent 4 2 6 6" xfId="1452"/>
    <cellStyle name="20% - akcent 4 2 7" xfId="1453"/>
    <cellStyle name="20% - akcent 4 2 7 2" xfId="1454"/>
    <cellStyle name="20% - akcent 4 2 7 3" xfId="1455"/>
    <cellStyle name="20% - akcent 4 2 7 4" xfId="1456"/>
    <cellStyle name="20% - akcent 4 2 7 5" xfId="1457"/>
    <cellStyle name="20% - akcent 4 2 7 6" xfId="1458"/>
    <cellStyle name="20% - akcent 4 2 8" xfId="1459"/>
    <cellStyle name="20% - akcent 4 2 8 2" xfId="1460"/>
    <cellStyle name="20% - akcent 4 2 8 3" xfId="1461"/>
    <cellStyle name="20% - akcent 4 2 8 4" xfId="1462"/>
    <cellStyle name="20% - akcent 4 2 8 5" xfId="1463"/>
    <cellStyle name="20% - akcent 4 2 8 6" xfId="1464"/>
    <cellStyle name="20% - akcent 4 2 9" xfId="1465"/>
    <cellStyle name="20% - akcent 4 2 9 2" xfId="1466"/>
    <cellStyle name="20% - akcent 4 2 9 3" xfId="1467"/>
    <cellStyle name="20% - akcent 4 2 9 4" xfId="1468"/>
    <cellStyle name="20% - akcent 4 2 9 5" xfId="1469"/>
    <cellStyle name="20% - akcent 4 2 9 6" xfId="1470"/>
    <cellStyle name="20% - akcent 4 20" xfId="1471"/>
    <cellStyle name="20% - akcent 4 21" xfId="1472"/>
    <cellStyle name="20% - akcent 4 22" xfId="1473"/>
    <cellStyle name="20% - akcent 4 23" xfId="1474"/>
    <cellStyle name="20% - akcent 4 24" xfId="1475"/>
    <cellStyle name="20% - akcent 4 25" xfId="1476"/>
    <cellStyle name="20% - akcent 4 26" xfId="1477"/>
    <cellStyle name="20% - akcent 4 27" xfId="1478"/>
    <cellStyle name="20% - akcent 4 28" xfId="1479"/>
    <cellStyle name="20% - akcent 4 29" xfId="1480"/>
    <cellStyle name="20% - akcent 4 3" xfId="1481"/>
    <cellStyle name="20% - akcent 4 3 2" xfId="1482"/>
    <cellStyle name="20% - akcent 4 3 2 2" xfId="1483"/>
    <cellStyle name="20% - akcent 4 3 3" xfId="1484"/>
    <cellStyle name="20% - akcent 4 3 3 2" xfId="1485"/>
    <cellStyle name="20% - akcent 4 3 4" xfId="1486"/>
    <cellStyle name="20% - akcent 4 3 4 2" xfId="1487"/>
    <cellStyle name="20% - akcent 4 3 5" xfId="1488"/>
    <cellStyle name="20% - akcent 4 3 6" xfId="1489"/>
    <cellStyle name="20% - akcent 4 3 7" xfId="1490"/>
    <cellStyle name="20% - akcent 4 3 8" xfId="1491"/>
    <cellStyle name="20% - akcent 4 30" xfId="1492"/>
    <cellStyle name="20% - akcent 4 30 2" xfId="1493"/>
    <cellStyle name="20% - akcent 4 31" xfId="1494"/>
    <cellStyle name="20% - akcent 4 31 2" xfId="1495"/>
    <cellStyle name="20% - akcent 4 32" xfId="1496"/>
    <cellStyle name="20% - akcent 4 32 2" xfId="1497"/>
    <cellStyle name="20% - akcent 4 33" xfId="1498"/>
    <cellStyle name="20% - akcent 4 33 2" xfId="1499"/>
    <cellStyle name="20% - akcent 4 34" xfId="1500"/>
    <cellStyle name="20% - akcent 4 34 2" xfId="1501"/>
    <cellStyle name="20% - akcent 4 35" xfId="1502"/>
    <cellStyle name="20% - akcent 4 35 2" xfId="1503"/>
    <cellStyle name="20% - akcent 4 36" xfId="1504"/>
    <cellStyle name="20% - akcent 4 36 2" xfId="1505"/>
    <cellStyle name="20% - akcent 4 37" xfId="1506"/>
    <cellStyle name="20% - akcent 4 37 2" xfId="1507"/>
    <cellStyle name="20% - akcent 4 38" xfId="1508"/>
    <cellStyle name="20% - akcent 4 38 2" xfId="1509"/>
    <cellStyle name="20% - akcent 4 39" xfId="1510"/>
    <cellStyle name="20% - akcent 4 39 2" xfId="1511"/>
    <cellStyle name="20% - akcent 4 4" xfId="1512"/>
    <cellStyle name="20% - akcent 4 4 2" xfId="1513"/>
    <cellStyle name="20% - akcent 4 4 2 2" xfId="1514"/>
    <cellStyle name="20% - akcent 4 4 3" xfId="1515"/>
    <cellStyle name="20% - akcent 4 4 3 2" xfId="1516"/>
    <cellStyle name="20% - akcent 4 4 4" xfId="1517"/>
    <cellStyle name="20% - akcent 4 4 4 2" xfId="1518"/>
    <cellStyle name="20% - akcent 4 4 5" xfId="1519"/>
    <cellStyle name="20% - akcent 4 4 6" xfId="1520"/>
    <cellStyle name="20% - akcent 4 4 7" xfId="1521"/>
    <cellStyle name="20% - akcent 4 4 8" xfId="1522"/>
    <cellStyle name="20% - akcent 4 40" xfId="1523"/>
    <cellStyle name="20% - akcent 4 40 2" xfId="1524"/>
    <cellStyle name="20% - akcent 4 41" xfId="1525"/>
    <cellStyle name="20% - akcent 4 41 2" xfId="1526"/>
    <cellStyle name="20% - akcent 4 42" xfId="1527"/>
    <cellStyle name="20% - akcent 4 42 2" xfId="1528"/>
    <cellStyle name="20% - akcent 4 43" xfId="1529"/>
    <cellStyle name="20% - akcent 4 43 2" xfId="1530"/>
    <cellStyle name="20% - akcent 4 44" xfId="1531"/>
    <cellStyle name="20% - akcent 4 44 2" xfId="1532"/>
    <cellStyle name="20% - akcent 4 45" xfId="1533"/>
    <cellStyle name="20% - akcent 4 45 2" xfId="1534"/>
    <cellStyle name="20% - akcent 4 46" xfId="1535"/>
    <cellStyle name="20% - akcent 4 46 2" xfId="1536"/>
    <cellStyle name="20% - akcent 4 47" xfId="1537"/>
    <cellStyle name="20% - akcent 4 47 2" xfId="1538"/>
    <cellStyle name="20% - akcent 4 48" xfId="1539"/>
    <cellStyle name="20% - akcent 4 48 2" xfId="1540"/>
    <cellStyle name="20% - akcent 4 49" xfId="1541"/>
    <cellStyle name="20% - akcent 4 49 2" xfId="1542"/>
    <cellStyle name="20% - akcent 4 5" xfId="1543"/>
    <cellStyle name="20% - akcent 4 5 2" xfId="1544"/>
    <cellStyle name="20% - akcent 4 5 3" xfId="1545"/>
    <cellStyle name="20% - akcent 4 50" xfId="1546"/>
    <cellStyle name="20% - akcent 4 50 2" xfId="1547"/>
    <cellStyle name="20% - akcent 4 51" xfId="1548"/>
    <cellStyle name="20% - akcent 4 51 2" xfId="1549"/>
    <cellStyle name="20% - akcent 4 52" xfId="1550"/>
    <cellStyle name="20% - akcent 4 52 2" xfId="1551"/>
    <cellStyle name="20% - akcent 4 53" xfId="1552"/>
    <cellStyle name="20% - akcent 4 53 2" xfId="1553"/>
    <cellStyle name="20% - akcent 4 54" xfId="1554"/>
    <cellStyle name="20% - akcent 4 54 2" xfId="1555"/>
    <cellStyle name="20% - akcent 4 55" xfId="1556"/>
    <cellStyle name="20% - akcent 4 55 2" xfId="1557"/>
    <cellStyle name="20% - akcent 4 56" xfId="1558"/>
    <cellStyle name="20% - akcent 4 56 2" xfId="1559"/>
    <cellStyle name="20% - akcent 4 57" xfId="1560"/>
    <cellStyle name="20% - akcent 4 57 2" xfId="1561"/>
    <cellStyle name="20% - akcent 4 58" xfId="1562"/>
    <cellStyle name="20% - akcent 4 58 2" xfId="1563"/>
    <cellStyle name="20% - akcent 4 59" xfId="1564"/>
    <cellStyle name="20% - akcent 4 59 2" xfId="1565"/>
    <cellStyle name="20% - akcent 4 6" xfId="1566"/>
    <cellStyle name="20% - akcent 4 60" xfId="1567"/>
    <cellStyle name="20% - akcent 4 60 2" xfId="1568"/>
    <cellStyle name="20% - akcent 4 61" xfId="1569"/>
    <cellStyle name="20% - akcent 4 61 2" xfId="1570"/>
    <cellStyle name="20% - akcent 4 62" xfId="1571"/>
    <cellStyle name="20% - akcent 4 62 2" xfId="1572"/>
    <cellStyle name="20% - akcent 4 63" xfId="1573"/>
    <cellStyle name="20% - akcent 4 63 2" xfId="1574"/>
    <cellStyle name="20% - akcent 4 64" xfId="1575"/>
    <cellStyle name="20% - akcent 4 64 2" xfId="1576"/>
    <cellStyle name="20% - akcent 4 65" xfId="1577"/>
    <cellStyle name="20% - akcent 4 65 2" xfId="1578"/>
    <cellStyle name="20% - akcent 4 66" xfId="1579"/>
    <cellStyle name="20% - akcent 4 66 2" xfId="1580"/>
    <cellStyle name="20% - akcent 4 67" xfId="1581"/>
    <cellStyle name="20% - akcent 4 67 2" xfId="1582"/>
    <cellStyle name="20% - akcent 4 68" xfId="1583"/>
    <cellStyle name="20% - akcent 4 68 2" xfId="1584"/>
    <cellStyle name="20% - akcent 4 69" xfId="1585"/>
    <cellStyle name="20% - akcent 4 69 2" xfId="1586"/>
    <cellStyle name="20% - akcent 4 7" xfId="1587"/>
    <cellStyle name="20% - akcent 4 70" xfId="1588"/>
    <cellStyle name="20% - akcent 4 70 2" xfId="1589"/>
    <cellStyle name="20% - akcent 4 71" xfId="1590"/>
    <cellStyle name="20% - akcent 4 71 2" xfId="1591"/>
    <cellStyle name="20% - akcent 4 72" xfId="1592"/>
    <cellStyle name="20% - akcent 4 72 2" xfId="1593"/>
    <cellStyle name="20% - akcent 4 73" xfId="1594"/>
    <cellStyle name="20% - akcent 4 73 2" xfId="1595"/>
    <cellStyle name="20% - akcent 4 74" xfId="1596"/>
    <cellStyle name="20% - akcent 4 74 2" xfId="1597"/>
    <cellStyle name="20% - akcent 4 75" xfId="1598"/>
    <cellStyle name="20% - akcent 4 75 2" xfId="1599"/>
    <cellStyle name="20% - akcent 4 76" xfId="1600"/>
    <cellStyle name="20% - akcent 4 76 2" xfId="1601"/>
    <cellStyle name="20% - akcent 4 77" xfId="1602"/>
    <cellStyle name="20% - akcent 4 77 2" xfId="1603"/>
    <cellStyle name="20% - akcent 4 78" xfId="1604"/>
    <cellStyle name="20% - akcent 4 78 2" xfId="1605"/>
    <cellStyle name="20% - akcent 4 79" xfId="1606"/>
    <cellStyle name="20% - akcent 4 79 2" xfId="1607"/>
    <cellStyle name="20% - akcent 4 8" xfId="1608"/>
    <cellStyle name="20% - akcent 4 80" xfId="1609"/>
    <cellStyle name="20% - akcent 4 80 2" xfId="1610"/>
    <cellStyle name="20% - akcent 4 81" xfId="1611"/>
    <cellStyle name="20% - akcent 4 81 2" xfId="1612"/>
    <cellStyle name="20% - akcent 4 82" xfId="1613"/>
    <cellStyle name="20% - akcent 4 82 2" xfId="1614"/>
    <cellStyle name="20% - akcent 4 83" xfId="1615"/>
    <cellStyle name="20% - akcent 4 83 2" xfId="1616"/>
    <cellStyle name="20% - akcent 4 84" xfId="1617"/>
    <cellStyle name="20% - akcent 4 84 2" xfId="1618"/>
    <cellStyle name="20% - akcent 4 85" xfId="1619"/>
    <cellStyle name="20% - akcent 4 85 2" xfId="1620"/>
    <cellStyle name="20% - akcent 4 86" xfId="1621"/>
    <cellStyle name="20% - akcent 4 86 2" xfId="1622"/>
    <cellStyle name="20% - akcent 4 87" xfId="1623"/>
    <cellStyle name="20% - akcent 4 87 2" xfId="1624"/>
    <cellStyle name="20% - akcent 4 88" xfId="1625"/>
    <cellStyle name="20% - akcent 4 88 2" xfId="1626"/>
    <cellStyle name="20% - akcent 4 89" xfId="1627"/>
    <cellStyle name="20% - akcent 4 89 2" xfId="1628"/>
    <cellStyle name="20% - akcent 4 9" xfId="1629"/>
    <cellStyle name="20% - akcent 4 90" xfId="1630"/>
    <cellStyle name="20% - akcent 4 90 2" xfId="1631"/>
    <cellStyle name="20% - akcent 4 91" xfId="1632"/>
    <cellStyle name="20% - akcent 4 91 2" xfId="1633"/>
    <cellStyle name="20% - akcent 4 92" xfId="1634"/>
    <cellStyle name="20% - akcent 4 92 2" xfId="1635"/>
    <cellStyle name="20% - akcent 4 93" xfId="1636"/>
    <cellStyle name="20% - akcent 4 93 2" xfId="1637"/>
    <cellStyle name="20% - akcent 4 94" xfId="1638"/>
    <cellStyle name="20% - akcent 4 94 2" xfId="1639"/>
    <cellStyle name="20% - akcent 4 95" xfId="1640"/>
    <cellStyle name="20% - akcent 4 95 2" xfId="1641"/>
    <cellStyle name="20% - akcent 4 96" xfId="1642"/>
    <cellStyle name="20% - akcent 4 96 2" xfId="1643"/>
    <cellStyle name="20% - akcent 4 97" xfId="1644"/>
    <cellStyle name="20% - akcent 4 97 2" xfId="1645"/>
    <cellStyle name="20% - akcent 4 98" xfId="1646"/>
    <cellStyle name="20% - akcent 4 98 2" xfId="1647"/>
    <cellStyle name="20% - akcent 4 99" xfId="1648"/>
    <cellStyle name="20% - akcent 4 99 2" xfId="1649"/>
    <cellStyle name="20% - akcent 5 10" xfId="1650"/>
    <cellStyle name="20% - akcent 5 100" xfId="1651"/>
    <cellStyle name="20% - akcent 5 100 2" xfId="1652"/>
    <cellStyle name="20% - akcent 5 101" xfId="1653"/>
    <cellStyle name="20% - akcent 5 101 2" xfId="1654"/>
    <cellStyle name="20% - akcent 5 102" xfId="1655"/>
    <cellStyle name="20% - akcent 5 102 2" xfId="1656"/>
    <cellStyle name="20% - akcent 5 103" xfId="1657"/>
    <cellStyle name="20% - akcent 5 103 2" xfId="1658"/>
    <cellStyle name="20% - akcent 5 104" xfId="1659"/>
    <cellStyle name="20% - akcent 5 104 2" xfId="1660"/>
    <cellStyle name="20% - akcent 5 105" xfId="1661"/>
    <cellStyle name="20% - akcent 5 105 2" xfId="1662"/>
    <cellStyle name="20% - akcent 5 106" xfId="1663"/>
    <cellStyle name="20% - akcent 5 106 2" xfId="1664"/>
    <cellStyle name="20% - akcent 5 107" xfId="1665"/>
    <cellStyle name="20% - akcent 5 107 2" xfId="1666"/>
    <cellStyle name="20% - akcent 5 108" xfId="1667"/>
    <cellStyle name="20% - akcent 5 108 2" xfId="1668"/>
    <cellStyle name="20% - akcent 5 109" xfId="1669"/>
    <cellStyle name="20% - akcent 5 109 2" xfId="1670"/>
    <cellStyle name="20% - akcent 5 11" xfId="1671"/>
    <cellStyle name="20% - akcent 5 110" xfId="1672"/>
    <cellStyle name="20% - akcent 5 110 2" xfId="1673"/>
    <cellStyle name="20% - akcent 5 111" xfId="1674"/>
    <cellStyle name="20% - akcent 5 111 2" xfId="1675"/>
    <cellStyle name="20% - akcent 5 112" xfId="1676"/>
    <cellStyle name="20% - akcent 5 112 2" xfId="1677"/>
    <cellStyle name="20% - akcent 5 113" xfId="1678"/>
    <cellStyle name="20% - akcent 5 113 2" xfId="1679"/>
    <cellStyle name="20% - akcent 5 114" xfId="1680"/>
    <cellStyle name="20% - akcent 5 114 2" xfId="1681"/>
    <cellStyle name="20% - akcent 5 115" xfId="1682"/>
    <cellStyle name="20% - akcent 5 115 2" xfId="1683"/>
    <cellStyle name="20% - akcent 5 116" xfId="1684"/>
    <cellStyle name="20% - akcent 5 116 2" xfId="1685"/>
    <cellStyle name="20% - akcent 5 117" xfId="1686"/>
    <cellStyle name="20% - akcent 5 117 2" xfId="1687"/>
    <cellStyle name="20% - akcent 5 118" xfId="1688"/>
    <cellStyle name="20% - akcent 5 118 2" xfId="1689"/>
    <cellStyle name="20% - akcent 5 119" xfId="1690"/>
    <cellStyle name="20% - akcent 5 119 2" xfId="1691"/>
    <cellStyle name="20% - akcent 5 12" xfId="1692"/>
    <cellStyle name="20% - akcent 5 120" xfId="1693"/>
    <cellStyle name="20% - akcent 5 121" xfId="1694"/>
    <cellStyle name="20% - akcent 5 13" xfId="1695"/>
    <cellStyle name="20% - akcent 5 14" xfId="1696"/>
    <cellStyle name="20% - akcent 5 15" xfId="1697"/>
    <cellStyle name="20% - akcent 5 16" xfId="1698"/>
    <cellStyle name="20% - akcent 5 17" xfId="1699"/>
    <cellStyle name="20% - akcent 5 18" xfId="1700"/>
    <cellStyle name="20% - akcent 5 19" xfId="1701"/>
    <cellStyle name="20% - akcent 5 2" xfId="1702"/>
    <cellStyle name="20% - akcent 5 2 10" xfId="1703"/>
    <cellStyle name="20% - akcent 5 2 10 2" xfId="1704"/>
    <cellStyle name="20% - akcent 5 2 10 3" xfId="1705"/>
    <cellStyle name="20% - akcent 5 2 10 4" xfId="1706"/>
    <cellStyle name="20% - akcent 5 2 10 5" xfId="1707"/>
    <cellStyle name="20% - akcent 5 2 10 6" xfId="1708"/>
    <cellStyle name="20% - akcent 5 2 11" xfId="1709"/>
    <cellStyle name="20% - akcent 5 2 11 2" xfId="1710"/>
    <cellStyle name="20% - akcent 5 2 11 3" xfId="1711"/>
    <cellStyle name="20% - akcent 5 2 11 4" xfId="1712"/>
    <cellStyle name="20% - akcent 5 2 11 5" xfId="1713"/>
    <cellStyle name="20% - akcent 5 2 11 6" xfId="1714"/>
    <cellStyle name="20% - akcent 5 2 12" xfId="1715"/>
    <cellStyle name="20% - akcent 5 2 12 2" xfId="1716"/>
    <cellStyle name="20% - akcent 5 2 12 3" xfId="1717"/>
    <cellStyle name="20% - akcent 5 2 12 4" xfId="1718"/>
    <cellStyle name="20% - akcent 5 2 12 5" xfId="1719"/>
    <cellStyle name="20% - akcent 5 2 12 6" xfId="1720"/>
    <cellStyle name="20% - akcent 5 2 13" xfId="1721"/>
    <cellStyle name="20% - akcent 5 2 13 2" xfId="1722"/>
    <cellStyle name="20% - akcent 5 2 13 3" xfId="1723"/>
    <cellStyle name="20% - akcent 5 2 13 4" xfId="1724"/>
    <cellStyle name="20% - akcent 5 2 13 5" xfId="1725"/>
    <cellStyle name="20% - akcent 5 2 13 6" xfId="1726"/>
    <cellStyle name="20% - akcent 5 2 14" xfId="1727"/>
    <cellStyle name="20% - akcent 5 2 14 2" xfId="1728"/>
    <cellStyle name="20% - akcent 5 2 14 3" xfId="1729"/>
    <cellStyle name="20% - akcent 5 2 14 4" xfId="1730"/>
    <cellStyle name="20% - akcent 5 2 14 5" xfId="1731"/>
    <cellStyle name="20% - akcent 5 2 14 6" xfId="1732"/>
    <cellStyle name="20% - akcent 5 2 15" xfId="1733"/>
    <cellStyle name="20% - akcent 5 2 15 2" xfId="1734"/>
    <cellStyle name="20% - akcent 5 2 15 3" xfId="1735"/>
    <cellStyle name="20% - akcent 5 2 15 4" xfId="1736"/>
    <cellStyle name="20% - akcent 5 2 15 5" xfId="1737"/>
    <cellStyle name="20% - akcent 5 2 15 6" xfId="1738"/>
    <cellStyle name="20% - akcent 5 2 16" xfId="1739"/>
    <cellStyle name="20% - akcent 5 2 16 2" xfId="1740"/>
    <cellStyle name="20% - akcent 5 2 16 3" xfId="1741"/>
    <cellStyle name="20% - akcent 5 2 16 4" xfId="1742"/>
    <cellStyle name="20% - akcent 5 2 16 5" xfId="1743"/>
    <cellStyle name="20% - akcent 5 2 16 6" xfId="1744"/>
    <cellStyle name="20% - akcent 5 2 17" xfId="1745"/>
    <cellStyle name="20% - akcent 5 2 17 2" xfId="1746"/>
    <cellStyle name="20% - akcent 5 2 17 3" xfId="1747"/>
    <cellStyle name="20% - akcent 5 2 17 4" xfId="1748"/>
    <cellStyle name="20% - akcent 5 2 17 5" xfId="1749"/>
    <cellStyle name="20% - akcent 5 2 17 6" xfId="1750"/>
    <cellStyle name="20% - akcent 5 2 18" xfId="1751"/>
    <cellStyle name="20% - akcent 5 2 18 2" xfId="1752"/>
    <cellStyle name="20% - akcent 5 2 18 3" xfId="1753"/>
    <cellStyle name="20% - akcent 5 2 18 4" xfId="1754"/>
    <cellStyle name="20% - akcent 5 2 18 5" xfId="1755"/>
    <cellStyle name="20% - akcent 5 2 18 6" xfId="1756"/>
    <cellStyle name="20% - akcent 5 2 19" xfId="1757"/>
    <cellStyle name="20% - akcent 5 2 19 2" xfId="1758"/>
    <cellStyle name="20% - akcent 5 2 19 3" xfId="1759"/>
    <cellStyle name="20% - akcent 5 2 19 4" xfId="1760"/>
    <cellStyle name="20% - akcent 5 2 19 5" xfId="1761"/>
    <cellStyle name="20% - akcent 5 2 19 6" xfId="1762"/>
    <cellStyle name="20% - akcent 5 2 2" xfId="1763"/>
    <cellStyle name="20% - akcent 5 2 2 2" xfId="1764"/>
    <cellStyle name="20% - akcent 5 2 2 3" xfId="1765"/>
    <cellStyle name="20% - akcent 5 2 2 4" xfId="1766"/>
    <cellStyle name="20% - akcent 5 2 2 5" xfId="1767"/>
    <cellStyle name="20% - akcent 5 2 2 6" xfId="1768"/>
    <cellStyle name="20% - akcent 5 2 2 7" xfId="1769"/>
    <cellStyle name="20% - akcent 5 2 20" xfId="1770"/>
    <cellStyle name="20% - akcent 5 2 20 2" xfId="1771"/>
    <cellStyle name="20% - akcent 5 2 20 3" xfId="1772"/>
    <cellStyle name="20% - akcent 5 2 20 4" xfId="1773"/>
    <cellStyle name="20% - akcent 5 2 20 5" xfId="1774"/>
    <cellStyle name="20% - akcent 5 2 20 6" xfId="1775"/>
    <cellStyle name="20% - akcent 5 2 21" xfId="1776"/>
    <cellStyle name="20% - akcent 5 2 21 2" xfId="1777"/>
    <cellStyle name="20% - akcent 5 2 21 3" xfId="1778"/>
    <cellStyle name="20% - akcent 5 2 21 4" xfId="1779"/>
    <cellStyle name="20% - akcent 5 2 21 5" xfId="1780"/>
    <cellStyle name="20% - akcent 5 2 21 6" xfId="1781"/>
    <cellStyle name="20% - akcent 5 2 22" xfId="1782"/>
    <cellStyle name="20% - akcent 5 2 22 2" xfId="1783"/>
    <cellStyle name="20% - akcent 5 2 22 3" xfId="1784"/>
    <cellStyle name="20% - akcent 5 2 22 4" xfId="1785"/>
    <cellStyle name="20% - akcent 5 2 22 5" xfId="1786"/>
    <cellStyle name="20% - akcent 5 2 22 6" xfId="1787"/>
    <cellStyle name="20% - akcent 5 2 23" xfId="1788"/>
    <cellStyle name="20% - akcent 5 2 23 2" xfId="1789"/>
    <cellStyle name="20% - akcent 5 2 23 3" xfId="1790"/>
    <cellStyle name="20% - akcent 5 2 23 4" xfId="1791"/>
    <cellStyle name="20% - akcent 5 2 23 5" xfId="1792"/>
    <cellStyle name="20% - akcent 5 2 23 6" xfId="1793"/>
    <cellStyle name="20% - akcent 5 2 24" xfId="1794"/>
    <cellStyle name="20% - akcent 5 2 24 2" xfId="1795"/>
    <cellStyle name="20% - akcent 5 2 24 3" xfId="1796"/>
    <cellStyle name="20% - akcent 5 2 24 4" xfId="1797"/>
    <cellStyle name="20% - akcent 5 2 24 5" xfId="1798"/>
    <cellStyle name="20% - akcent 5 2 24 6" xfId="1799"/>
    <cellStyle name="20% - akcent 5 2 25" xfId="1800"/>
    <cellStyle name="20% - akcent 5 2 25 2" xfId="1801"/>
    <cellStyle name="20% - akcent 5 2 25 3" xfId="1802"/>
    <cellStyle name="20% - akcent 5 2 25 4" xfId="1803"/>
    <cellStyle name="20% - akcent 5 2 25 5" xfId="1804"/>
    <cellStyle name="20% - akcent 5 2 25 6" xfId="1805"/>
    <cellStyle name="20% - akcent 5 2 26" xfId="1806"/>
    <cellStyle name="20% - akcent 5 2 26 2" xfId="1807"/>
    <cellStyle name="20% - akcent 5 2 26 3" xfId="1808"/>
    <cellStyle name="20% - akcent 5 2 26 4" xfId="1809"/>
    <cellStyle name="20% - akcent 5 2 26 5" xfId="1810"/>
    <cellStyle name="20% - akcent 5 2 26 6" xfId="1811"/>
    <cellStyle name="20% - akcent 5 2 27" xfId="1812"/>
    <cellStyle name="20% - akcent 5 2 27 2" xfId="1813"/>
    <cellStyle name="20% - akcent 5 2 27 3" xfId="1814"/>
    <cellStyle name="20% - akcent 5 2 27 4" xfId="1815"/>
    <cellStyle name="20% - akcent 5 2 27 5" xfId="1816"/>
    <cellStyle name="20% - akcent 5 2 27 6" xfId="1817"/>
    <cellStyle name="20% - akcent 5 2 28" xfId="1818"/>
    <cellStyle name="20% - akcent 5 2 28 2" xfId="1819"/>
    <cellStyle name="20% - akcent 5 2 28 3" xfId="1820"/>
    <cellStyle name="20% - akcent 5 2 28 4" xfId="1821"/>
    <cellStyle name="20% - akcent 5 2 28 5" xfId="1822"/>
    <cellStyle name="20% - akcent 5 2 28 6" xfId="1823"/>
    <cellStyle name="20% - akcent 5 2 29" xfId="1824"/>
    <cellStyle name="20% - akcent 5 2 29 2" xfId="1825"/>
    <cellStyle name="20% - akcent 5 2 3" xfId="1826"/>
    <cellStyle name="20% - akcent 5 2 3 2" xfId="1827"/>
    <cellStyle name="20% - akcent 5 2 3 3" xfId="1828"/>
    <cellStyle name="20% - akcent 5 2 3 4" xfId="1829"/>
    <cellStyle name="20% - akcent 5 2 3 5" xfId="1830"/>
    <cellStyle name="20% - akcent 5 2 3 6" xfId="1831"/>
    <cellStyle name="20% - akcent 5 2 3 7" xfId="1832"/>
    <cellStyle name="20% - akcent 5 2 30" xfId="1833"/>
    <cellStyle name="20% - akcent 5 2 30 2" xfId="1834"/>
    <cellStyle name="20% - akcent 5 2 31" xfId="1835"/>
    <cellStyle name="20% - akcent 5 2 31 2" xfId="1836"/>
    <cellStyle name="20% - akcent 5 2 32" xfId="1837"/>
    <cellStyle name="20% - akcent 5 2 32 2" xfId="1838"/>
    <cellStyle name="20% - akcent 5 2 33" xfId="1839"/>
    <cellStyle name="20% - akcent 5 2 34" xfId="1840"/>
    <cellStyle name="20% - akcent 5 2 35" xfId="1841"/>
    <cellStyle name="20% - akcent 5 2 36" xfId="1842"/>
    <cellStyle name="20% - akcent 5 2 37" xfId="1843"/>
    <cellStyle name="20% - akcent 5 2 38" xfId="1844"/>
    <cellStyle name="20% - akcent 5 2 39" xfId="1845"/>
    <cellStyle name="20% - akcent 5 2 4" xfId="1846"/>
    <cellStyle name="20% - akcent 5 2 4 2" xfId="1847"/>
    <cellStyle name="20% - akcent 5 2 4 3" xfId="1848"/>
    <cellStyle name="20% - akcent 5 2 4 4" xfId="1849"/>
    <cellStyle name="20% - akcent 5 2 4 5" xfId="1850"/>
    <cellStyle name="20% - akcent 5 2 4 6" xfId="1851"/>
    <cellStyle name="20% - akcent 5 2 4 7" xfId="1852"/>
    <cellStyle name="20% - akcent 5 2 40" xfId="1853"/>
    <cellStyle name="20% - akcent 5 2 41" xfId="1854"/>
    <cellStyle name="20% - akcent 5 2 42" xfId="1855"/>
    <cellStyle name="20% - akcent 5 2 43" xfId="1856"/>
    <cellStyle name="20% - akcent 5 2 44" xfId="1857"/>
    <cellStyle name="20% - akcent 5 2 45" xfId="1858"/>
    <cellStyle name="20% - akcent 5 2 46" xfId="1859"/>
    <cellStyle name="20% - akcent 5 2 47" xfId="1860"/>
    <cellStyle name="20% - akcent 5 2 48" xfId="1861"/>
    <cellStyle name="20% - akcent 5 2 49" xfId="1862"/>
    <cellStyle name="20% - akcent 5 2 5" xfId="1863"/>
    <cellStyle name="20% - akcent 5 2 5 2" xfId="1864"/>
    <cellStyle name="20% - akcent 5 2 5 3" xfId="1865"/>
    <cellStyle name="20% - akcent 5 2 5 4" xfId="1866"/>
    <cellStyle name="20% - akcent 5 2 5 5" xfId="1867"/>
    <cellStyle name="20% - akcent 5 2 5 6" xfId="1868"/>
    <cellStyle name="20% - akcent 5 2 50" xfId="1869"/>
    <cellStyle name="20% - akcent 5 2 51" xfId="1870"/>
    <cellStyle name="20% - akcent 5 2 6" xfId="1871"/>
    <cellStyle name="20% - akcent 5 2 6 2" xfId="1872"/>
    <cellStyle name="20% - akcent 5 2 6 3" xfId="1873"/>
    <cellStyle name="20% - akcent 5 2 6 4" xfId="1874"/>
    <cellStyle name="20% - akcent 5 2 6 5" xfId="1875"/>
    <cellStyle name="20% - akcent 5 2 6 6" xfId="1876"/>
    <cellStyle name="20% - akcent 5 2 7" xfId="1877"/>
    <cellStyle name="20% - akcent 5 2 7 2" xfId="1878"/>
    <cellStyle name="20% - akcent 5 2 7 3" xfId="1879"/>
    <cellStyle name="20% - akcent 5 2 7 4" xfId="1880"/>
    <cellStyle name="20% - akcent 5 2 7 5" xfId="1881"/>
    <cellStyle name="20% - akcent 5 2 7 6" xfId="1882"/>
    <cellStyle name="20% - akcent 5 2 8" xfId="1883"/>
    <cellStyle name="20% - akcent 5 2 8 2" xfId="1884"/>
    <cellStyle name="20% - akcent 5 2 8 3" xfId="1885"/>
    <cellStyle name="20% - akcent 5 2 8 4" xfId="1886"/>
    <cellStyle name="20% - akcent 5 2 8 5" xfId="1887"/>
    <cellStyle name="20% - akcent 5 2 8 6" xfId="1888"/>
    <cellStyle name="20% - akcent 5 2 9" xfId="1889"/>
    <cellStyle name="20% - akcent 5 2 9 2" xfId="1890"/>
    <cellStyle name="20% - akcent 5 2 9 3" xfId="1891"/>
    <cellStyle name="20% - akcent 5 2 9 4" xfId="1892"/>
    <cellStyle name="20% - akcent 5 2 9 5" xfId="1893"/>
    <cellStyle name="20% - akcent 5 2 9 6" xfId="1894"/>
    <cellStyle name="20% - akcent 5 20" xfId="1895"/>
    <cellStyle name="20% - akcent 5 21" xfId="1896"/>
    <cellStyle name="20% - akcent 5 22" xfId="1897"/>
    <cellStyle name="20% - akcent 5 23" xfId="1898"/>
    <cellStyle name="20% - akcent 5 24" xfId="1899"/>
    <cellStyle name="20% - akcent 5 25" xfId="1900"/>
    <cellStyle name="20% - akcent 5 26" xfId="1901"/>
    <cellStyle name="20% - akcent 5 27" xfId="1902"/>
    <cellStyle name="20% - akcent 5 28" xfId="1903"/>
    <cellStyle name="20% - akcent 5 29" xfId="1904"/>
    <cellStyle name="20% - akcent 5 3" xfId="1905"/>
    <cellStyle name="20% - akcent 5 3 2" xfId="1906"/>
    <cellStyle name="20% - akcent 5 3 2 2" xfId="1907"/>
    <cellStyle name="20% - akcent 5 3 3" xfId="1908"/>
    <cellStyle name="20% - akcent 5 3 3 2" xfId="1909"/>
    <cellStyle name="20% - akcent 5 3 4" xfId="1910"/>
    <cellStyle name="20% - akcent 5 3 4 2" xfId="1911"/>
    <cellStyle name="20% - akcent 5 3 5" xfId="1912"/>
    <cellStyle name="20% - akcent 5 3 6" xfId="1913"/>
    <cellStyle name="20% - akcent 5 3 7" xfId="1914"/>
    <cellStyle name="20% - akcent 5 3 8" xfId="1915"/>
    <cellStyle name="20% - akcent 5 30" xfId="1916"/>
    <cellStyle name="20% - akcent 5 30 2" xfId="1917"/>
    <cellStyle name="20% - akcent 5 31" xfId="1918"/>
    <cellStyle name="20% - akcent 5 31 2" xfId="1919"/>
    <cellStyle name="20% - akcent 5 32" xfId="1920"/>
    <cellStyle name="20% - akcent 5 32 2" xfId="1921"/>
    <cellStyle name="20% - akcent 5 33" xfId="1922"/>
    <cellStyle name="20% - akcent 5 33 2" xfId="1923"/>
    <cellStyle name="20% - akcent 5 34" xfId="1924"/>
    <cellStyle name="20% - akcent 5 34 2" xfId="1925"/>
    <cellStyle name="20% - akcent 5 35" xfId="1926"/>
    <cellStyle name="20% - akcent 5 35 2" xfId="1927"/>
    <cellStyle name="20% - akcent 5 36" xfId="1928"/>
    <cellStyle name="20% - akcent 5 36 2" xfId="1929"/>
    <cellStyle name="20% - akcent 5 37" xfId="1930"/>
    <cellStyle name="20% - akcent 5 37 2" xfId="1931"/>
    <cellStyle name="20% - akcent 5 38" xfId="1932"/>
    <cellStyle name="20% - akcent 5 38 2" xfId="1933"/>
    <cellStyle name="20% - akcent 5 39" xfId="1934"/>
    <cellStyle name="20% - akcent 5 39 2" xfId="1935"/>
    <cellStyle name="20% - akcent 5 4" xfId="1936"/>
    <cellStyle name="20% - akcent 5 4 2" xfId="1937"/>
    <cellStyle name="20% - akcent 5 4 2 2" xfId="1938"/>
    <cellStyle name="20% - akcent 5 4 3" xfId="1939"/>
    <cellStyle name="20% - akcent 5 4 3 2" xfId="1940"/>
    <cellStyle name="20% - akcent 5 4 4" xfId="1941"/>
    <cellStyle name="20% - akcent 5 4 4 2" xfId="1942"/>
    <cellStyle name="20% - akcent 5 4 5" xfId="1943"/>
    <cellStyle name="20% - akcent 5 4 6" xfId="1944"/>
    <cellStyle name="20% - akcent 5 4 7" xfId="1945"/>
    <cellStyle name="20% - akcent 5 4 8" xfId="1946"/>
    <cellStyle name="20% - akcent 5 40" xfId="1947"/>
    <cellStyle name="20% - akcent 5 40 2" xfId="1948"/>
    <cellStyle name="20% - akcent 5 41" xfId="1949"/>
    <cellStyle name="20% - akcent 5 41 2" xfId="1950"/>
    <cellStyle name="20% - akcent 5 42" xfId="1951"/>
    <cellStyle name="20% - akcent 5 42 2" xfId="1952"/>
    <cellStyle name="20% - akcent 5 43" xfId="1953"/>
    <cellStyle name="20% - akcent 5 43 2" xfId="1954"/>
    <cellStyle name="20% - akcent 5 44" xfId="1955"/>
    <cellStyle name="20% - akcent 5 44 2" xfId="1956"/>
    <cellStyle name="20% - akcent 5 45" xfId="1957"/>
    <cellStyle name="20% - akcent 5 45 2" xfId="1958"/>
    <cellStyle name="20% - akcent 5 46" xfId="1959"/>
    <cellStyle name="20% - akcent 5 46 2" xfId="1960"/>
    <cellStyle name="20% - akcent 5 47" xfId="1961"/>
    <cellStyle name="20% - akcent 5 47 2" xfId="1962"/>
    <cellStyle name="20% - akcent 5 48" xfId="1963"/>
    <cellStyle name="20% - akcent 5 48 2" xfId="1964"/>
    <cellStyle name="20% - akcent 5 49" xfId="1965"/>
    <cellStyle name="20% - akcent 5 49 2" xfId="1966"/>
    <cellStyle name="20% - akcent 5 5" xfId="1967"/>
    <cellStyle name="20% - akcent 5 5 2" xfId="1968"/>
    <cellStyle name="20% - akcent 5 5 3" xfId="1969"/>
    <cellStyle name="20% - akcent 5 50" xfId="1970"/>
    <cellStyle name="20% - akcent 5 50 2" xfId="1971"/>
    <cellStyle name="20% - akcent 5 51" xfId="1972"/>
    <cellStyle name="20% - akcent 5 51 2" xfId="1973"/>
    <cellStyle name="20% - akcent 5 52" xfId="1974"/>
    <cellStyle name="20% - akcent 5 52 2" xfId="1975"/>
    <cellStyle name="20% - akcent 5 53" xfId="1976"/>
    <cellStyle name="20% - akcent 5 53 2" xfId="1977"/>
    <cellStyle name="20% - akcent 5 54" xfId="1978"/>
    <cellStyle name="20% - akcent 5 54 2" xfId="1979"/>
    <cellStyle name="20% - akcent 5 55" xfId="1980"/>
    <cellStyle name="20% - akcent 5 55 2" xfId="1981"/>
    <cellStyle name="20% - akcent 5 56" xfId="1982"/>
    <cellStyle name="20% - akcent 5 56 2" xfId="1983"/>
    <cellStyle name="20% - akcent 5 57" xfId="1984"/>
    <cellStyle name="20% - akcent 5 57 2" xfId="1985"/>
    <cellStyle name="20% - akcent 5 58" xfId="1986"/>
    <cellStyle name="20% - akcent 5 58 2" xfId="1987"/>
    <cellStyle name="20% - akcent 5 59" xfId="1988"/>
    <cellStyle name="20% - akcent 5 59 2" xfId="1989"/>
    <cellStyle name="20% - akcent 5 6" xfId="1990"/>
    <cellStyle name="20% - akcent 5 60" xfId="1991"/>
    <cellStyle name="20% - akcent 5 60 2" xfId="1992"/>
    <cellStyle name="20% - akcent 5 61" xfId="1993"/>
    <cellStyle name="20% - akcent 5 61 2" xfId="1994"/>
    <cellStyle name="20% - akcent 5 62" xfId="1995"/>
    <cellStyle name="20% - akcent 5 62 2" xfId="1996"/>
    <cellStyle name="20% - akcent 5 63" xfId="1997"/>
    <cellStyle name="20% - akcent 5 63 2" xfId="1998"/>
    <cellStyle name="20% - akcent 5 64" xfId="1999"/>
    <cellStyle name="20% - akcent 5 64 2" xfId="2000"/>
    <cellStyle name="20% - akcent 5 65" xfId="2001"/>
    <cellStyle name="20% - akcent 5 65 2" xfId="2002"/>
    <cellStyle name="20% - akcent 5 66" xfId="2003"/>
    <cellStyle name="20% - akcent 5 66 2" xfId="2004"/>
    <cellStyle name="20% - akcent 5 67" xfId="2005"/>
    <cellStyle name="20% - akcent 5 67 2" xfId="2006"/>
    <cellStyle name="20% - akcent 5 68" xfId="2007"/>
    <cellStyle name="20% - akcent 5 68 2" xfId="2008"/>
    <cellStyle name="20% - akcent 5 69" xfId="2009"/>
    <cellStyle name="20% - akcent 5 69 2" xfId="2010"/>
    <cellStyle name="20% - akcent 5 7" xfId="2011"/>
    <cellStyle name="20% - akcent 5 70" xfId="2012"/>
    <cellStyle name="20% - akcent 5 70 2" xfId="2013"/>
    <cellStyle name="20% - akcent 5 71" xfId="2014"/>
    <cellStyle name="20% - akcent 5 71 2" xfId="2015"/>
    <cellStyle name="20% - akcent 5 72" xfId="2016"/>
    <cellStyle name="20% - akcent 5 72 2" xfId="2017"/>
    <cellStyle name="20% - akcent 5 73" xfId="2018"/>
    <cellStyle name="20% - akcent 5 73 2" xfId="2019"/>
    <cellStyle name="20% - akcent 5 74" xfId="2020"/>
    <cellStyle name="20% - akcent 5 74 2" xfId="2021"/>
    <cellStyle name="20% - akcent 5 75" xfId="2022"/>
    <cellStyle name="20% - akcent 5 75 2" xfId="2023"/>
    <cellStyle name="20% - akcent 5 76" xfId="2024"/>
    <cellStyle name="20% - akcent 5 76 2" xfId="2025"/>
    <cellStyle name="20% - akcent 5 77" xfId="2026"/>
    <cellStyle name="20% - akcent 5 77 2" xfId="2027"/>
    <cellStyle name="20% - akcent 5 78" xfId="2028"/>
    <cellStyle name="20% - akcent 5 78 2" xfId="2029"/>
    <cellStyle name="20% - akcent 5 79" xfId="2030"/>
    <cellStyle name="20% - akcent 5 79 2" xfId="2031"/>
    <cellStyle name="20% - akcent 5 8" xfId="2032"/>
    <cellStyle name="20% - akcent 5 80" xfId="2033"/>
    <cellStyle name="20% - akcent 5 80 2" xfId="2034"/>
    <cellStyle name="20% - akcent 5 81" xfId="2035"/>
    <cellStyle name="20% - akcent 5 81 2" xfId="2036"/>
    <cellStyle name="20% - akcent 5 82" xfId="2037"/>
    <cellStyle name="20% - akcent 5 82 2" xfId="2038"/>
    <cellStyle name="20% - akcent 5 83" xfId="2039"/>
    <cellStyle name="20% - akcent 5 83 2" xfId="2040"/>
    <cellStyle name="20% - akcent 5 84" xfId="2041"/>
    <cellStyle name="20% - akcent 5 84 2" xfId="2042"/>
    <cellStyle name="20% - akcent 5 85" xfId="2043"/>
    <cellStyle name="20% - akcent 5 85 2" xfId="2044"/>
    <cellStyle name="20% - akcent 5 86" xfId="2045"/>
    <cellStyle name="20% - akcent 5 86 2" xfId="2046"/>
    <cellStyle name="20% - akcent 5 87" xfId="2047"/>
    <cellStyle name="20% - akcent 5 87 2" xfId="2048"/>
    <cellStyle name="20% - akcent 5 88" xfId="2049"/>
    <cellStyle name="20% - akcent 5 88 2" xfId="2050"/>
    <cellStyle name="20% - akcent 5 89" xfId="2051"/>
    <cellStyle name="20% - akcent 5 89 2" xfId="2052"/>
    <cellStyle name="20% - akcent 5 9" xfId="2053"/>
    <cellStyle name="20% - akcent 5 90" xfId="2054"/>
    <cellStyle name="20% - akcent 5 90 2" xfId="2055"/>
    <cellStyle name="20% - akcent 5 91" xfId="2056"/>
    <cellStyle name="20% - akcent 5 91 2" xfId="2057"/>
    <cellStyle name="20% - akcent 5 92" xfId="2058"/>
    <cellStyle name="20% - akcent 5 92 2" xfId="2059"/>
    <cellStyle name="20% - akcent 5 93" xfId="2060"/>
    <cellStyle name="20% - akcent 5 93 2" xfId="2061"/>
    <cellStyle name="20% - akcent 5 94" xfId="2062"/>
    <cellStyle name="20% - akcent 5 94 2" xfId="2063"/>
    <cellStyle name="20% - akcent 5 95" xfId="2064"/>
    <cellStyle name="20% - akcent 5 95 2" xfId="2065"/>
    <cellStyle name="20% - akcent 5 96" xfId="2066"/>
    <cellStyle name="20% - akcent 5 96 2" xfId="2067"/>
    <cellStyle name="20% - akcent 5 97" xfId="2068"/>
    <cellStyle name="20% - akcent 5 97 2" xfId="2069"/>
    <cellStyle name="20% - akcent 5 98" xfId="2070"/>
    <cellStyle name="20% - akcent 5 98 2" xfId="2071"/>
    <cellStyle name="20% - akcent 5 99" xfId="2072"/>
    <cellStyle name="20% - akcent 5 99 2" xfId="2073"/>
    <cellStyle name="20% - akcent 6 10" xfId="2074"/>
    <cellStyle name="20% - akcent 6 100" xfId="2075"/>
    <cellStyle name="20% - akcent 6 100 2" xfId="2076"/>
    <cellStyle name="20% - akcent 6 101" xfId="2077"/>
    <cellStyle name="20% - akcent 6 101 2" xfId="2078"/>
    <cellStyle name="20% - akcent 6 102" xfId="2079"/>
    <cellStyle name="20% - akcent 6 102 2" xfId="2080"/>
    <cellStyle name="20% - akcent 6 103" xfId="2081"/>
    <cellStyle name="20% - akcent 6 103 2" xfId="2082"/>
    <cellStyle name="20% - akcent 6 104" xfId="2083"/>
    <cellStyle name="20% - akcent 6 104 2" xfId="2084"/>
    <cellStyle name="20% - akcent 6 105" xfId="2085"/>
    <cellStyle name="20% - akcent 6 105 2" xfId="2086"/>
    <cellStyle name="20% - akcent 6 106" xfId="2087"/>
    <cellStyle name="20% - akcent 6 106 2" xfId="2088"/>
    <cellStyle name="20% - akcent 6 107" xfId="2089"/>
    <cellStyle name="20% - akcent 6 107 2" xfId="2090"/>
    <cellStyle name="20% - akcent 6 108" xfId="2091"/>
    <cellStyle name="20% - akcent 6 108 2" xfId="2092"/>
    <cellStyle name="20% - akcent 6 109" xfId="2093"/>
    <cellStyle name="20% - akcent 6 109 2" xfId="2094"/>
    <cellStyle name="20% - akcent 6 11" xfId="2095"/>
    <cellStyle name="20% - akcent 6 110" xfId="2096"/>
    <cellStyle name="20% - akcent 6 110 2" xfId="2097"/>
    <cellStyle name="20% - akcent 6 111" xfId="2098"/>
    <cellStyle name="20% - akcent 6 111 2" xfId="2099"/>
    <cellStyle name="20% - akcent 6 112" xfId="2100"/>
    <cellStyle name="20% - akcent 6 112 2" xfId="2101"/>
    <cellStyle name="20% - akcent 6 113" xfId="2102"/>
    <cellStyle name="20% - akcent 6 113 2" xfId="2103"/>
    <cellStyle name="20% - akcent 6 114" xfId="2104"/>
    <cellStyle name="20% - akcent 6 114 2" xfId="2105"/>
    <cellStyle name="20% - akcent 6 115" xfId="2106"/>
    <cellStyle name="20% - akcent 6 115 2" xfId="2107"/>
    <cellStyle name="20% - akcent 6 116" xfId="2108"/>
    <cellStyle name="20% - akcent 6 116 2" xfId="2109"/>
    <cellStyle name="20% - akcent 6 117" xfId="2110"/>
    <cellStyle name="20% - akcent 6 117 2" xfId="2111"/>
    <cellStyle name="20% - akcent 6 118" xfId="2112"/>
    <cellStyle name="20% - akcent 6 118 2" xfId="2113"/>
    <cellStyle name="20% - akcent 6 119" xfId="2114"/>
    <cellStyle name="20% - akcent 6 119 2" xfId="2115"/>
    <cellStyle name="20% - akcent 6 12" xfId="2116"/>
    <cellStyle name="20% - akcent 6 120" xfId="2117"/>
    <cellStyle name="20% - akcent 6 121" xfId="2118"/>
    <cellStyle name="20% - akcent 6 13" xfId="2119"/>
    <cellStyle name="20% - akcent 6 14" xfId="2120"/>
    <cellStyle name="20% - akcent 6 15" xfId="2121"/>
    <cellStyle name="20% - akcent 6 16" xfId="2122"/>
    <cellStyle name="20% - akcent 6 17" xfId="2123"/>
    <cellStyle name="20% - akcent 6 18" xfId="2124"/>
    <cellStyle name="20% - akcent 6 19" xfId="2125"/>
    <cellStyle name="20% - akcent 6 2" xfId="2126"/>
    <cellStyle name="20% - akcent 6 2 10" xfId="2127"/>
    <cellStyle name="20% - akcent 6 2 10 2" xfId="2128"/>
    <cellStyle name="20% - akcent 6 2 10 3" xfId="2129"/>
    <cellStyle name="20% - akcent 6 2 10 4" xfId="2130"/>
    <cellStyle name="20% - akcent 6 2 10 5" xfId="2131"/>
    <cellStyle name="20% - akcent 6 2 10 6" xfId="2132"/>
    <cellStyle name="20% - akcent 6 2 11" xfId="2133"/>
    <cellStyle name="20% - akcent 6 2 11 2" xfId="2134"/>
    <cellStyle name="20% - akcent 6 2 11 3" xfId="2135"/>
    <cellStyle name="20% - akcent 6 2 11 4" xfId="2136"/>
    <cellStyle name="20% - akcent 6 2 11 5" xfId="2137"/>
    <cellStyle name="20% - akcent 6 2 11 6" xfId="2138"/>
    <cellStyle name="20% - akcent 6 2 12" xfId="2139"/>
    <cellStyle name="20% - akcent 6 2 12 2" xfId="2140"/>
    <cellStyle name="20% - akcent 6 2 12 3" xfId="2141"/>
    <cellStyle name="20% - akcent 6 2 12 4" xfId="2142"/>
    <cellStyle name="20% - akcent 6 2 12 5" xfId="2143"/>
    <cellStyle name="20% - akcent 6 2 12 6" xfId="2144"/>
    <cellStyle name="20% - akcent 6 2 13" xfId="2145"/>
    <cellStyle name="20% - akcent 6 2 13 2" xfId="2146"/>
    <cellStyle name="20% - akcent 6 2 13 3" xfId="2147"/>
    <cellStyle name="20% - akcent 6 2 13 4" xfId="2148"/>
    <cellStyle name="20% - akcent 6 2 13 5" xfId="2149"/>
    <cellStyle name="20% - akcent 6 2 13 6" xfId="2150"/>
    <cellStyle name="20% - akcent 6 2 14" xfId="2151"/>
    <cellStyle name="20% - akcent 6 2 14 2" xfId="2152"/>
    <cellStyle name="20% - akcent 6 2 14 3" xfId="2153"/>
    <cellStyle name="20% - akcent 6 2 14 4" xfId="2154"/>
    <cellStyle name="20% - akcent 6 2 14 5" xfId="2155"/>
    <cellStyle name="20% - akcent 6 2 14 6" xfId="2156"/>
    <cellStyle name="20% - akcent 6 2 15" xfId="2157"/>
    <cellStyle name="20% - akcent 6 2 15 2" xfId="2158"/>
    <cellStyle name="20% - akcent 6 2 15 3" xfId="2159"/>
    <cellStyle name="20% - akcent 6 2 15 4" xfId="2160"/>
    <cellStyle name="20% - akcent 6 2 15 5" xfId="2161"/>
    <cellStyle name="20% - akcent 6 2 15 6" xfId="2162"/>
    <cellStyle name="20% - akcent 6 2 16" xfId="2163"/>
    <cellStyle name="20% - akcent 6 2 16 2" xfId="2164"/>
    <cellStyle name="20% - akcent 6 2 16 3" xfId="2165"/>
    <cellStyle name="20% - akcent 6 2 16 4" xfId="2166"/>
    <cellStyle name="20% - akcent 6 2 16 5" xfId="2167"/>
    <cellStyle name="20% - akcent 6 2 16 6" xfId="2168"/>
    <cellStyle name="20% - akcent 6 2 17" xfId="2169"/>
    <cellStyle name="20% - akcent 6 2 17 2" xfId="2170"/>
    <cellStyle name="20% - akcent 6 2 17 3" xfId="2171"/>
    <cellStyle name="20% - akcent 6 2 17 4" xfId="2172"/>
    <cellStyle name="20% - akcent 6 2 17 5" xfId="2173"/>
    <cellStyle name="20% - akcent 6 2 17 6" xfId="2174"/>
    <cellStyle name="20% - akcent 6 2 18" xfId="2175"/>
    <cellStyle name="20% - akcent 6 2 18 2" xfId="2176"/>
    <cellStyle name="20% - akcent 6 2 18 3" xfId="2177"/>
    <cellStyle name="20% - akcent 6 2 18 4" xfId="2178"/>
    <cellStyle name="20% - akcent 6 2 18 5" xfId="2179"/>
    <cellStyle name="20% - akcent 6 2 18 6" xfId="2180"/>
    <cellStyle name="20% - akcent 6 2 19" xfId="2181"/>
    <cellStyle name="20% - akcent 6 2 19 2" xfId="2182"/>
    <cellStyle name="20% - akcent 6 2 19 3" xfId="2183"/>
    <cellStyle name="20% - akcent 6 2 19 4" xfId="2184"/>
    <cellStyle name="20% - akcent 6 2 19 5" xfId="2185"/>
    <cellStyle name="20% - akcent 6 2 19 6" xfId="2186"/>
    <cellStyle name="20% - akcent 6 2 2" xfId="2187"/>
    <cellStyle name="20% - akcent 6 2 2 2" xfId="2188"/>
    <cellStyle name="20% - akcent 6 2 2 3" xfId="2189"/>
    <cellStyle name="20% - akcent 6 2 2 4" xfId="2190"/>
    <cellStyle name="20% - akcent 6 2 2 5" xfId="2191"/>
    <cellStyle name="20% - akcent 6 2 2 6" xfId="2192"/>
    <cellStyle name="20% - akcent 6 2 2 7" xfId="2193"/>
    <cellStyle name="20% - akcent 6 2 20" xfId="2194"/>
    <cellStyle name="20% - akcent 6 2 20 2" xfId="2195"/>
    <cellStyle name="20% - akcent 6 2 20 3" xfId="2196"/>
    <cellStyle name="20% - akcent 6 2 20 4" xfId="2197"/>
    <cellStyle name="20% - akcent 6 2 20 5" xfId="2198"/>
    <cellStyle name="20% - akcent 6 2 20 6" xfId="2199"/>
    <cellStyle name="20% - akcent 6 2 21" xfId="2200"/>
    <cellStyle name="20% - akcent 6 2 21 2" xfId="2201"/>
    <cellStyle name="20% - akcent 6 2 21 3" xfId="2202"/>
    <cellStyle name="20% - akcent 6 2 21 4" xfId="2203"/>
    <cellStyle name="20% - akcent 6 2 21 5" xfId="2204"/>
    <cellStyle name="20% - akcent 6 2 21 6" xfId="2205"/>
    <cellStyle name="20% - akcent 6 2 22" xfId="2206"/>
    <cellStyle name="20% - akcent 6 2 22 2" xfId="2207"/>
    <cellStyle name="20% - akcent 6 2 22 3" xfId="2208"/>
    <cellStyle name="20% - akcent 6 2 22 4" xfId="2209"/>
    <cellStyle name="20% - akcent 6 2 22 5" xfId="2210"/>
    <cellStyle name="20% - akcent 6 2 22 6" xfId="2211"/>
    <cellStyle name="20% - akcent 6 2 23" xfId="2212"/>
    <cellStyle name="20% - akcent 6 2 23 2" xfId="2213"/>
    <cellStyle name="20% - akcent 6 2 23 3" xfId="2214"/>
    <cellStyle name="20% - akcent 6 2 23 4" xfId="2215"/>
    <cellStyle name="20% - akcent 6 2 23 5" xfId="2216"/>
    <cellStyle name="20% - akcent 6 2 23 6" xfId="2217"/>
    <cellStyle name="20% - akcent 6 2 24" xfId="2218"/>
    <cellStyle name="20% - akcent 6 2 24 2" xfId="2219"/>
    <cellStyle name="20% - akcent 6 2 24 3" xfId="2220"/>
    <cellStyle name="20% - akcent 6 2 24 4" xfId="2221"/>
    <cellStyle name="20% - akcent 6 2 24 5" xfId="2222"/>
    <cellStyle name="20% - akcent 6 2 24 6" xfId="2223"/>
    <cellStyle name="20% - akcent 6 2 25" xfId="2224"/>
    <cellStyle name="20% - akcent 6 2 25 2" xfId="2225"/>
    <cellStyle name="20% - akcent 6 2 25 3" xfId="2226"/>
    <cellStyle name="20% - akcent 6 2 25 4" xfId="2227"/>
    <cellStyle name="20% - akcent 6 2 25 5" xfId="2228"/>
    <cellStyle name="20% - akcent 6 2 25 6" xfId="2229"/>
    <cellStyle name="20% - akcent 6 2 26" xfId="2230"/>
    <cellStyle name="20% - akcent 6 2 26 2" xfId="2231"/>
    <cellStyle name="20% - akcent 6 2 26 3" xfId="2232"/>
    <cellStyle name="20% - akcent 6 2 26 4" xfId="2233"/>
    <cellStyle name="20% - akcent 6 2 26 5" xfId="2234"/>
    <cellStyle name="20% - akcent 6 2 26 6" xfId="2235"/>
    <cellStyle name="20% - akcent 6 2 27" xfId="2236"/>
    <cellStyle name="20% - akcent 6 2 27 2" xfId="2237"/>
    <cellStyle name="20% - akcent 6 2 27 3" xfId="2238"/>
    <cellStyle name="20% - akcent 6 2 27 4" xfId="2239"/>
    <cellStyle name="20% - akcent 6 2 27 5" xfId="2240"/>
    <cellStyle name="20% - akcent 6 2 27 6" xfId="2241"/>
    <cellStyle name="20% - akcent 6 2 28" xfId="2242"/>
    <cellStyle name="20% - akcent 6 2 28 2" xfId="2243"/>
    <cellStyle name="20% - akcent 6 2 28 3" xfId="2244"/>
    <cellStyle name="20% - akcent 6 2 28 4" xfId="2245"/>
    <cellStyle name="20% - akcent 6 2 28 5" xfId="2246"/>
    <cellStyle name="20% - akcent 6 2 28 6" xfId="2247"/>
    <cellStyle name="20% - akcent 6 2 29" xfId="2248"/>
    <cellStyle name="20% - akcent 6 2 29 2" xfId="2249"/>
    <cellStyle name="20% - akcent 6 2 3" xfId="2250"/>
    <cellStyle name="20% - akcent 6 2 3 2" xfId="2251"/>
    <cellStyle name="20% - akcent 6 2 3 3" xfId="2252"/>
    <cellStyle name="20% - akcent 6 2 3 4" xfId="2253"/>
    <cellStyle name="20% - akcent 6 2 3 5" xfId="2254"/>
    <cellStyle name="20% - akcent 6 2 3 6" xfId="2255"/>
    <cellStyle name="20% - akcent 6 2 3 7" xfId="2256"/>
    <cellStyle name="20% - akcent 6 2 30" xfId="2257"/>
    <cellStyle name="20% - akcent 6 2 30 2" xfId="2258"/>
    <cellStyle name="20% - akcent 6 2 31" xfId="2259"/>
    <cellStyle name="20% - akcent 6 2 31 2" xfId="2260"/>
    <cellStyle name="20% - akcent 6 2 32" xfId="2261"/>
    <cellStyle name="20% - akcent 6 2 32 2" xfId="2262"/>
    <cellStyle name="20% - akcent 6 2 33" xfId="2263"/>
    <cellStyle name="20% - akcent 6 2 34" xfId="2264"/>
    <cellStyle name="20% - akcent 6 2 35" xfId="2265"/>
    <cellStyle name="20% - akcent 6 2 36" xfId="2266"/>
    <cellStyle name="20% - akcent 6 2 37" xfId="2267"/>
    <cellStyle name="20% - akcent 6 2 38" xfId="2268"/>
    <cellStyle name="20% - akcent 6 2 39" xfId="2269"/>
    <cellStyle name="20% - akcent 6 2 4" xfId="2270"/>
    <cellStyle name="20% - akcent 6 2 4 2" xfId="2271"/>
    <cellStyle name="20% - akcent 6 2 4 3" xfId="2272"/>
    <cellStyle name="20% - akcent 6 2 4 4" xfId="2273"/>
    <cellStyle name="20% - akcent 6 2 4 5" xfId="2274"/>
    <cellStyle name="20% - akcent 6 2 4 6" xfId="2275"/>
    <cellStyle name="20% - akcent 6 2 4 7" xfId="2276"/>
    <cellStyle name="20% - akcent 6 2 40" xfId="2277"/>
    <cellStyle name="20% - akcent 6 2 41" xfId="2278"/>
    <cellStyle name="20% - akcent 6 2 42" xfId="2279"/>
    <cellStyle name="20% - akcent 6 2 43" xfId="2280"/>
    <cellStyle name="20% - akcent 6 2 44" xfId="2281"/>
    <cellStyle name="20% - akcent 6 2 45" xfId="2282"/>
    <cellStyle name="20% - akcent 6 2 46" xfId="2283"/>
    <cellStyle name="20% - akcent 6 2 47" xfId="2284"/>
    <cellStyle name="20% - akcent 6 2 48" xfId="2285"/>
    <cellStyle name="20% - akcent 6 2 49" xfId="2286"/>
    <cellStyle name="20% - akcent 6 2 5" xfId="2287"/>
    <cellStyle name="20% - akcent 6 2 5 2" xfId="2288"/>
    <cellStyle name="20% - akcent 6 2 5 3" xfId="2289"/>
    <cellStyle name="20% - akcent 6 2 5 4" xfId="2290"/>
    <cellStyle name="20% - akcent 6 2 5 5" xfId="2291"/>
    <cellStyle name="20% - akcent 6 2 5 6" xfId="2292"/>
    <cellStyle name="20% - akcent 6 2 50" xfId="2293"/>
    <cellStyle name="20% - akcent 6 2 51" xfId="2294"/>
    <cellStyle name="20% - akcent 6 2 6" xfId="2295"/>
    <cellStyle name="20% - akcent 6 2 6 2" xfId="2296"/>
    <cellStyle name="20% - akcent 6 2 6 3" xfId="2297"/>
    <cellStyle name="20% - akcent 6 2 6 4" xfId="2298"/>
    <cellStyle name="20% - akcent 6 2 6 5" xfId="2299"/>
    <cellStyle name="20% - akcent 6 2 6 6" xfId="2300"/>
    <cellStyle name="20% - akcent 6 2 7" xfId="2301"/>
    <cellStyle name="20% - akcent 6 2 7 2" xfId="2302"/>
    <cellStyle name="20% - akcent 6 2 7 3" xfId="2303"/>
    <cellStyle name="20% - akcent 6 2 7 4" xfId="2304"/>
    <cellStyle name="20% - akcent 6 2 7 5" xfId="2305"/>
    <cellStyle name="20% - akcent 6 2 7 6" xfId="2306"/>
    <cellStyle name="20% - akcent 6 2 8" xfId="2307"/>
    <cellStyle name="20% - akcent 6 2 8 2" xfId="2308"/>
    <cellStyle name="20% - akcent 6 2 8 3" xfId="2309"/>
    <cellStyle name="20% - akcent 6 2 8 4" xfId="2310"/>
    <cellStyle name="20% - akcent 6 2 8 5" xfId="2311"/>
    <cellStyle name="20% - akcent 6 2 8 6" xfId="2312"/>
    <cellStyle name="20% - akcent 6 2 9" xfId="2313"/>
    <cellStyle name="20% - akcent 6 2 9 2" xfId="2314"/>
    <cellStyle name="20% - akcent 6 2 9 3" xfId="2315"/>
    <cellStyle name="20% - akcent 6 2 9 4" xfId="2316"/>
    <cellStyle name="20% - akcent 6 2 9 5" xfId="2317"/>
    <cellStyle name="20% - akcent 6 2 9 6" xfId="2318"/>
    <cellStyle name="20% - akcent 6 20" xfId="2319"/>
    <cellStyle name="20% - akcent 6 21" xfId="2320"/>
    <cellStyle name="20% - akcent 6 22" xfId="2321"/>
    <cellStyle name="20% - akcent 6 23" xfId="2322"/>
    <cellStyle name="20% - akcent 6 24" xfId="2323"/>
    <cellStyle name="20% - akcent 6 25" xfId="2324"/>
    <cellStyle name="20% - akcent 6 26" xfId="2325"/>
    <cellStyle name="20% - akcent 6 27" xfId="2326"/>
    <cellStyle name="20% - akcent 6 28" xfId="2327"/>
    <cellStyle name="20% - akcent 6 29" xfId="2328"/>
    <cellStyle name="20% - akcent 6 3" xfId="2329"/>
    <cellStyle name="20% - akcent 6 3 2" xfId="2330"/>
    <cellStyle name="20% - akcent 6 3 2 2" xfId="2331"/>
    <cellStyle name="20% - akcent 6 3 3" xfId="2332"/>
    <cellStyle name="20% - akcent 6 3 3 2" xfId="2333"/>
    <cellStyle name="20% - akcent 6 3 4" xfId="2334"/>
    <cellStyle name="20% - akcent 6 3 4 2" xfId="2335"/>
    <cellStyle name="20% - akcent 6 3 5" xfId="2336"/>
    <cellStyle name="20% - akcent 6 3 6" xfId="2337"/>
    <cellStyle name="20% - akcent 6 3 7" xfId="2338"/>
    <cellStyle name="20% - akcent 6 3 8" xfId="2339"/>
    <cellStyle name="20% - akcent 6 30" xfId="2340"/>
    <cellStyle name="20% - akcent 6 30 2" xfId="2341"/>
    <cellStyle name="20% - akcent 6 31" xfId="2342"/>
    <cellStyle name="20% - akcent 6 31 2" xfId="2343"/>
    <cellStyle name="20% - akcent 6 32" xfId="2344"/>
    <cellStyle name="20% - akcent 6 32 2" xfId="2345"/>
    <cellStyle name="20% - akcent 6 33" xfId="2346"/>
    <cellStyle name="20% - akcent 6 33 2" xfId="2347"/>
    <cellStyle name="20% - akcent 6 34" xfId="2348"/>
    <cellStyle name="20% - akcent 6 34 2" xfId="2349"/>
    <cellStyle name="20% - akcent 6 35" xfId="2350"/>
    <cellStyle name="20% - akcent 6 35 2" xfId="2351"/>
    <cellStyle name="20% - akcent 6 36" xfId="2352"/>
    <cellStyle name="20% - akcent 6 36 2" xfId="2353"/>
    <cellStyle name="20% - akcent 6 37" xfId="2354"/>
    <cellStyle name="20% - akcent 6 37 2" xfId="2355"/>
    <cellStyle name="20% - akcent 6 38" xfId="2356"/>
    <cellStyle name="20% - akcent 6 38 2" xfId="2357"/>
    <cellStyle name="20% - akcent 6 39" xfId="2358"/>
    <cellStyle name="20% - akcent 6 39 2" xfId="2359"/>
    <cellStyle name="20% - akcent 6 4" xfId="2360"/>
    <cellStyle name="20% - akcent 6 4 2" xfId="2361"/>
    <cellStyle name="20% - akcent 6 4 2 2" xfId="2362"/>
    <cellStyle name="20% - akcent 6 4 3" xfId="2363"/>
    <cellStyle name="20% - akcent 6 4 3 2" xfId="2364"/>
    <cellStyle name="20% - akcent 6 4 4" xfId="2365"/>
    <cellStyle name="20% - akcent 6 4 4 2" xfId="2366"/>
    <cellStyle name="20% - akcent 6 4 5" xfId="2367"/>
    <cellStyle name="20% - akcent 6 4 6" xfId="2368"/>
    <cellStyle name="20% - akcent 6 4 7" xfId="2369"/>
    <cellStyle name="20% - akcent 6 4 8" xfId="2370"/>
    <cellStyle name="20% - akcent 6 40" xfId="2371"/>
    <cellStyle name="20% - akcent 6 40 2" xfId="2372"/>
    <cellStyle name="20% - akcent 6 41" xfId="2373"/>
    <cellStyle name="20% - akcent 6 41 2" xfId="2374"/>
    <cellStyle name="20% - akcent 6 42" xfId="2375"/>
    <cellStyle name="20% - akcent 6 42 2" xfId="2376"/>
    <cellStyle name="20% - akcent 6 43" xfId="2377"/>
    <cellStyle name="20% - akcent 6 43 2" xfId="2378"/>
    <cellStyle name="20% - akcent 6 44" xfId="2379"/>
    <cellStyle name="20% - akcent 6 44 2" xfId="2380"/>
    <cellStyle name="20% - akcent 6 45" xfId="2381"/>
    <cellStyle name="20% - akcent 6 45 2" xfId="2382"/>
    <cellStyle name="20% - akcent 6 46" xfId="2383"/>
    <cellStyle name="20% - akcent 6 46 2" xfId="2384"/>
    <cellStyle name="20% - akcent 6 47" xfId="2385"/>
    <cellStyle name="20% - akcent 6 47 2" xfId="2386"/>
    <cellStyle name="20% - akcent 6 48" xfId="2387"/>
    <cellStyle name="20% - akcent 6 48 2" xfId="2388"/>
    <cellStyle name="20% - akcent 6 49" xfId="2389"/>
    <cellStyle name="20% - akcent 6 49 2" xfId="2390"/>
    <cellStyle name="20% - akcent 6 5" xfId="2391"/>
    <cellStyle name="20% - akcent 6 5 2" xfId="2392"/>
    <cellStyle name="20% - akcent 6 5 3" xfId="2393"/>
    <cellStyle name="20% - akcent 6 50" xfId="2394"/>
    <cellStyle name="20% - akcent 6 50 2" xfId="2395"/>
    <cellStyle name="20% - akcent 6 51" xfId="2396"/>
    <cellStyle name="20% - akcent 6 51 2" xfId="2397"/>
    <cellStyle name="20% - akcent 6 52" xfId="2398"/>
    <cellStyle name="20% - akcent 6 52 2" xfId="2399"/>
    <cellStyle name="20% - akcent 6 53" xfId="2400"/>
    <cellStyle name="20% - akcent 6 53 2" xfId="2401"/>
    <cellStyle name="20% - akcent 6 54" xfId="2402"/>
    <cellStyle name="20% - akcent 6 54 2" xfId="2403"/>
    <cellStyle name="20% - akcent 6 55" xfId="2404"/>
    <cellStyle name="20% - akcent 6 55 2" xfId="2405"/>
    <cellStyle name="20% - akcent 6 56" xfId="2406"/>
    <cellStyle name="20% - akcent 6 56 2" xfId="2407"/>
    <cellStyle name="20% - akcent 6 57" xfId="2408"/>
    <cellStyle name="20% - akcent 6 57 2" xfId="2409"/>
    <cellStyle name="20% - akcent 6 58" xfId="2410"/>
    <cellStyle name="20% - akcent 6 58 2" xfId="2411"/>
    <cellStyle name="20% - akcent 6 59" xfId="2412"/>
    <cellStyle name="20% - akcent 6 59 2" xfId="2413"/>
    <cellStyle name="20% - akcent 6 6" xfId="2414"/>
    <cellStyle name="20% - akcent 6 60" xfId="2415"/>
    <cellStyle name="20% - akcent 6 60 2" xfId="2416"/>
    <cellStyle name="20% - akcent 6 61" xfId="2417"/>
    <cellStyle name="20% - akcent 6 61 2" xfId="2418"/>
    <cellStyle name="20% - akcent 6 62" xfId="2419"/>
    <cellStyle name="20% - akcent 6 62 2" xfId="2420"/>
    <cellStyle name="20% - akcent 6 63" xfId="2421"/>
    <cellStyle name="20% - akcent 6 63 2" xfId="2422"/>
    <cellStyle name="20% - akcent 6 64" xfId="2423"/>
    <cellStyle name="20% - akcent 6 64 2" xfId="2424"/>
    <cellStyle name="20% - akcent 6 65" xfId="2425"/>
    <cellStyle name="20% - akcent 6 65 2" xfId="2426"/>
    <cellStyle name="20% - akcent 6 66" xfId="2427"/>
    <cellStyle name="20% - akcent 6 66 2" xfId="2428"/>
    <cellStyle name="20% - akcent 6 67" xfId="2429"/>
    <cellStyle name="20% - akcent 6 67 2" xfId="2430"/>
    <cellStyle name="20% - akcent 6 68" xfId="2431"/>
    <cellStyle name="20% - akcent 6 68 2" xfId="2432"/>
    <cellStyle name="20% - akcent 6 69" xfId="2433"/>
    <cellStyle name="20% - akcent 6 69 2" xfId="2434"/>
    <cellStyle name="20% - akcent 6 7" xfId="2435"/>
    <cellStyle name="20% - akcent 6 70" xfId="2436"/>
    <cellStyle name="20% - akcent 6 70 2" xfId="2437"/>
    <cellStyle name="20% - akcent 6 71" xfId="2438"/>
    <cellStyle name="20% - akcent 6 71 2" xfId="2439"/>
    <cellStyle name="20% - akcent 6 72" xfId="2440"/>
    <cellStyle name="20% - akcent 6 72 2" xfId="2441"/>
    <cellStyle name="20% - akcent 6 73" xfId="2442"/>
    <cellStyle name="20% - akcent 6 73 2" xfId="2443"/>
    <cellStyle name="20% - akcent 6 74" xfId="2444"/>
    <cellStyle name="20% - akcent 6 74 2" xfId="2445"/>
    <cellStyle name="20% - akcent 6 75" xfId="2446"/>
    <cellStyle name="20% - akcent 6 75 2" xfId="2447"/>
    <cellStyle name="20% - akcent 6 76" xfId="2448"/>
    <cellStyle name="20% - akcent 6 76 2" xfId="2449"/>
    <cellStyle name="20% - akcent 6 77" xfId="2450"/>
    <cellStyle name="20% - akcent 6 77 2" xfId="2451"/>
    <cellStyle name="20% - akcent 6 78" xfId="2452"/>
    <cellStyle name="20% - akcent 6 78 2" xfId="2453"/>
    <cellStyle name="20% - akcent 6 79" xfId="2454"/>
    <cellStyle name="20% - akcent 6 79 2" xfId="2455"/>
    <cellStyle name="20% - akcent 6 8" xfId="2456"/>
    <cellStyle name="20% - akcent 6 80" xfId="2457"/>
    <cellStyle name="20% - akcent 6 80 2" xfId="2458"/>
    <cellStyle name="20% - akcent 6 81" xfId="2459"/>
    <cellStyle name="20% - akcent 6 81 2" xfId="2460"/>
    <cellStyle name="20% - akcent 6 82" xfId="2461"/>
    <cellStyle name="20% - akcent 6 82 2" xfId="2462"/>
    <cellStyle name="20% - akcent 6 83" xfId="2463"/>
    <cellStyle name="20% - akcent 6 83 2" xfId="2464"/>
    <cellStyle name="20% - akcent 6 84" xfId="2465"/>
    <cellStyle name="20% - akcent 6 84 2" xfId="2466"/>
    <cellStyle name="20% - akcent 6 85" xfId="2467"/>
    <cellStyle name="20% - akcent 6 85 2" xfId="2468"/>
    <cellStyle name="20% - akcent 6 86" xfId="2469"/>
    <cellStyle name="20% - akcent 6 86 2" xfId="2470"/>
    <cellStyle name="20% - akcent 6 87" xfId="2471"/>
    <cellStyle name="20% - akcent 6 87 2" xfId="2472"/>
    <cellStyle name="20% - akcent 6 88" xfId="2473"/>
    <cellStyle name="20% - akcent 6 88 2" xfId="2474"/>
    <cellStyle name="20% - akcent 6 89" xfId="2475"/>
    <cellStyle name="20% - akcent 6 89 2" xfId="2476"/>
    <cellStyle name="20% - akcent 6 9" xfId="2477"/>
    <cellStyle name="20% - akcent 6 90" xfId="2478"/>
    <cellStyle name="20% - akcent 6 90 2" xfId="2479"/>
    <cellStyle name="20% - akcent 6 91" xfId="2480"/>
    <cellStyle name="20% - akcent 6 91 2" xfId="2481"/>
    <cellStyle name="20% - akcent 6 92" xfId="2482"/>
    <cellStyle name="20% - akcent 6 92 2" xfId="2483"/>
    <cellStyle name="20% - akcent 6 93" xfId="2484"/>
    <cellStyle name="20% - akcent 6 93 2" xfId="2485"/>
    <cellStyle name="20% - akcent 6 94" xfId="2486"/>
    <cellStyle name="20% - akcent 6 94 2" xfId="2487"/>
    <cellStyle name="20% - akcent 6 95" xfId="2488"/>
    <cellStyle name="20% - akcent 6 95 2" xfId="2489"/>
    <cellStyle name="20% - akcent 6 96" xfId="2490"/>
    <cellStyle name="20% - akcent 6 96 2" xfId="2491"/>
    <cellStyle name="20% - akcent 6 97" xfId="2492"/>
    <cellStyle name="20% - akcent 6 97 2" xfId="2493"/>
    <cellStyle name="20% - akcent 6 98" xfId="2494"/>
    <cellStyle name="20% - akcent 6 98 2" xfId="2495"/>
    <cellStyle name="20% - akcent 6 99" xfId="2496"/>
    <cellStyle name="20% - akcent 6 99 2" xfId="2497"/>
    <cellStyle name="40% - akcent 1 10" xfId="2498"/>
    <cellStyle name="40% - akcent 1 100" xfId="2499"/>
    <cellStyle name="40% - akcent 1 100 2" xfId="2500"/>
    <cellStyle name="40% - akcent 1 101" xfId="2501"/>
    <cellStyle name="40% - akcent 1 101 2" xfId="2502"/>
    <cellStyle name="40% - akcent 1 102" xfId="2503"/>
    <cellStyle name="40% - akcent 1 102 2" xfId="2504"/>
    <cellStyle name="40% - akcent 1 103" xfId="2505"/>
    <cellStyle name="40% - akcent 1 103 2" xfId="2506"/>
    <cellStyle name="40% - akcent 1 104" xfId="2507"/>
    <cellStyle name="40% - akcent 1 104 2" xfId="2508"/>
    <cellStyle name="40% - akcent 1 105" xfId="2509"/>
    <cellStyle name="40% - akcent 1 105 2" xfId="2510"/>
    <cellStyle name="40% - akcent 1 106" xfId="2511"/>
    <cellStyle name="40% - akcent 1 106 2" xfId="2512"/>
    <cellStyle name="40% - akcent 1 107" xfId="2513"/>
    <cellStyle name="40% - akcent 1 107 2" xfId="2514"/>
    <cellStyle name="40% - akcent 1 108" xfId="2515"/>
    <cellStyle name="40% - akcent 1 108 2" xfId="2516"/>
    <cellStyle name="40% - akcent 1 109" xfId="2517"/>
    <cellStyle name="40% - akcent 1 109 2" xfId="2518"/>
    <cellStyle name="40% - akcent 1 11" xfId="2519"/>
    <cellStyle name="40% - akcent 1 110" xfId="2520"/>
    <cellStyle name="40% - akcent 1 110 2" xfId="2521"/>
    <cellStyle name="40% - akcent 1 111" xfId="2522"/>
    <cellStyle name="40% - akcent 1 111 2" xfId="2523"/>
    <cellStyle name="40% - akcent 1 112" xfId="2524"/>
    <cellStyle name="40% - akcent 1 112 2" xfId="2525"/>
    <cellStyle name="40% - akcent 1 113" xfId="2526"/>
    <cellStyle name="40% - akcent 1 113 2" xfId="2527"/>
    <cellStyle name="40% - akcent 1 114" xfId="2528"/>
    <cellStyle name="40% - akcent 1 114 2" xfId="2529"/>
    <cellStyle name="40% - akcent 1 115" xfId="2530"/>
    <cellStyle name="40% - akcent 1 115 2" xfId="2531"/>
    <cellStyle name="40% - akcent 1 116" xfId="2532"/>
    <cellStyle name="40% - akcent 1 116 2" xfId="2533"/>
    <cellStyle name="40% - akcent 1 117" xfId="2534"/>
    <cellStyle name="40% - akcent 1 117 2" xfId="2535"/>
    <cellStyle name="40% - akcent 1 118" xfId="2536"/>
    <cellStyle name="40% - akcent 1 118 2" xfId="2537"/>
    <cellStyle name="40% - akcent 1 119" xfId="2538"/>
    <cellStyle name="40% - akcent 1 119 2" xfId="2539"/>
    <cellStyle name="40% - akcent 1 12" xfId="2540"/>
    <cellStyle name="40% - akcent 1 120" xfId="2541"/>
    <cellStyle name="40% - akcent 1 121" xfId="2542"/>
    <cellStyle name="40% - akcent 1 13" xfId="2543"/>
    <cellStyle name="40% - akcent 1 14" xfId="2544"/>
    <cellStyle name="40% - akcent 1 15" xfId="2545"/>
    <cellStyle name="40% - akcent 1 16" xfId="2546"/>
    <cellStyle name="40% - akcent 1 17" xfId="2547"/>
    <cellStyle name="40% - akcent 1 18" xfId="2548"/>
    <cellStyle name="40% - akcent 1 19" xfId="2549"/>
    <cellStyle name="40% - akcent 1 2" xfId="2550"/>
    <cellStyle name="40% - akcent 1 2 10" xfId="2551"/>
    <cellStyle name="40% - akcent 1 2 10 2" xfId="2552"/>
    <cellStyle name="40% - akcent 1 2 10 3" xfId="2553"/>
    <cellStyle name="40% - akcent 1 2 10 4" xfId="2554"/>
    <cellStyle name="40% - akcent 1 2 10 5" xfId="2555"/>
    <cellStyle name="40% - akcent 1 2 10 6" xfId="2556"/>
    <cellStyle name="40% - akcent 1 2 11" xfId="2557"/>
    <cellStyle name="40% - akcent 1 2 11 2" xfId="2558"/>
    <cellStyle name="40% - akcent 1 2 11 3" xfId="2559"/>
    <cellStyle name="40% - akcent 1 2 11 4" xfId="2560"/>
    <cellStyle name="40% - akcent 1 2 11 5" xfId="2561"/>
    <cellStyle name="40% - akcent 1 2 11 6" xfId="2562"/>
    <cellStyle name="40% - akcent 1 2 12" xfId="2563"/>
    <cellStyle name="40% - akcent 1 2 12 2" xfId="2564"/>
    <cellStyle name="40% - akcent 1 2 12 3" xfId="2565"/>
    <cellStyle name="40% - akcent 1 2 12 4" xfId="2566"/>
    <cellStyle name="40% - akcent 1 2 12 5" xfId="2567"/>
    <cellStyle name="40% - akcent 1 2 12 6" xfId="2568"/>
    <cellStyle name="40% - akcent 1 2 13" xfId="2569"/>
    <cellStyle name="40% - akcent 1 2 13 2" xfId="2570"/>
    <cellStyle name="40% - akcent 1 2 13 3" xfId="2571"/>
    <cellStyle name="40% - akcent 1 2 13 4" xfId="2572"/>
    <cellStyle name="40% - akcent 1 2 13 5" xfId="2573"/>
    <cellStyle name="40% - akcent 1 2 13 6" xfId="2574"/>
    <cellStyle name="40% - akcent 1 2 14" xfId="2575"/>
    <cellStyle name="40% - akcent 1 2 14 2" xfId="2576"/>
    <cellStyle name="40% - akcent 1 2 14 3" xfId="2577"/>
    <cellStyle name="40% - akcent 1 2 14 4" xfId="2578"/>
    <cellStyle name="40% - akcent 1 2 14 5" xfId="2579"/>
    <cellStyle name="40% - akcent 1 2 14 6" xfId="2580"/>
    <cellStyle name="40% - akcent 1 2 15" xfId="2581"/>
    <cellStyle name="40% - akcent 1 2 15 2" xfId="2582"/>
    <cellStyle name="40% - akcent 1 2 15 3" xfId="2583"/>
    <cellStyle name="40% - akcent 1 2 15 4" xfId="2584"/>
    <cellStyle name="40% - akcent 1 2 15 5" xfId="2585"/>
    <cellStyle name="40% - akcent 1 2 15 6" xfId="2586"/>
    <cellStyle name="40% - akcent 1 2 16" xfId="2587"/>
    <cellStyle name="40% - akcent 1 2 16 2" xfId="2588"/>
    <cellStyle name="40% - akcent 1 2 16 3" xfId="2589"/>
    <cellStyle name="40% - akcent 1 2 16 4" xfId="2590"/>
    <cellStyle name="40% - akcent 1 2 16 5" xfId="2591"/>
    <cellStyle name="40% - akcent 1 2 16 6" xfId="2592"/>
    <cellStyle name="40% - akcent 1 2 17" xfId="2593"/>
    <cellStyle name="40% - akcent 1 2 17 2" xfId="2594"/>
    <cellStyle name="40% - akcent 1 2 17 3" xfId="2595"/>
    <cellStyle name="40% - akcent 1 2 17 4" xfId="2596"/>
    <cellStyle name="40% - akcent 1 2 17 5" xfId="2597"/>
    <cellStyle name="40% - akcent 1 2 17 6" xfId="2598"/>
    <cellStyle name="40% - akcent 1 2 18" xfId="2599"/>
    <cellStyle name="40% - akcent 1 2 18 2" xfId="2600"/>
    <cellStyle name="40% - akcent 1 2 18 3" xfId="2601"/>
    <cellStyle name="40% - akcent 1 2 18 4" xfId="2602"/>
    <cellStyle name="40% - akcent 1 2 18 5" xfId="2603"/>
    <cellStyle name="40% - akcent 1 2 18 6" xfId="2604"/>
    <cellStyle name="40% - akcent 1 2 19" xfId="2605"/>
    <cellStyle name="40% - akcent 1 2 19 2" xfId="2606"/>
    <cellStyle name="40% - akcent 1 2 19 3" xfId="2607"/>
    <cellStyle name="40% - akcent 1 2 19 4" xfId="2608"/>
    <cellStyle name="40% - akcent 1 2 19 5" xfId="2609"/>
    <cellStyle name="40% - akcent 1 2 19 6" xfId="2610"/>
    <cellStyle name="40% - akcent 1 2 2" xfId="2611"/>
    <cellStyle name="40% - akcent 1 2 2 2" xfId="2612"/>
    <cellStyle name="40% - akcent 1 2 2 3" xfId="2613"/>
    <cellStyle name="40% - akcent 1 2 2 4" xfId="2614"/>
    <cellStyle name="40% - akcent 1 2 2 5" xfId="2615"/>
    <cellStyle name="40% - akcent 1 2 2 6" xfId="2616"/>
    <cellStyle name="40% - akcent 1 2 2 7" xfId="2617"/>
    <cellStyle name="40% - akcent 1 2 20" xfId="2618"/>
    <cellStyle name="40% - akcent 1 2 20 2" xfId="2619"/>
    <cellStyle name="40% - akcent 1 2 20 3" xfId="2620"/>
    <cellStyle name="40% - akcent 1 2 20 4" xfId="2621"/>
    <cellStyle name="40% - akcent 1 2 20 5" xfId="2622"/>
    <cellStyle name="40% - akcent 1 2 20 6" xfId="2623"/>
    <cellStyle name="40% - akcent 1 2 21" xfId="2624"/>
    <cellStyle name="40% - akcent 1 2 21 2" xfId="2625"/>
    <cellStyle name="40% - akcent 1 2 21 3" xfId="2626"/>
    <cellStyle name="40% - akcent 1 2 21 4" xfId="2627"/>
    <cellStyle name="40% - akcent 1 2 21 5" xfId="2628"/>
    <cellStyle name="40% - akcent 1 2 21 6" xfId="2629"/>
    <cellStyle name="40% - akcent 1 2 22" xfId="2630"/>
    <cellStyle name="40% - akcent 1 2 22 2" xfId="2631"/>
    <cellStyle name="40% - akcent 1 2 22 3" xfId="2632"/>
    <cellStyle name="40% - akcent 1 2 22 4" xfId="2633"/>
    <cellStyle name="40% - akcent 1 2 22 5" xfId="2634"/>
    <cellStyle name="40% - akcent 1 2 22 6" xfId="2635"/>
    <cellStyle name="40% - akcent 1 2 23" xfId="2636"/>
    <cellStyle name="40% - akcent 1 2 23 2" xfId="2637"/>
    <cellStyle name="40% - akcent 1 2 23 3" xfId="2638"/>
    <cellStyle name="40% - akcent 1 2 23 4" xfId="2639"/>
    <cellStyle name="40% - akcent 1 2 23 5" xfId="2640"/>
    <cellStyle name="40% - akcent 1 2 23 6" xfId="2641"/>
    <cellStyle name="40% - akcent 1 2 24" xfId="2642"/>
    <cellStyle name="40% - akcent 1 2 24 2" xfId="2643"/>
    <cellStyle name="40% - akcent 1 2 24 3" xfId="2644"/>
    <cellStyle name="40% - akcent 1 2 24 4" xfId="2645"/>
    <cellStyle name="40% - akcent 1 2 24 5" xfId="2646"/>
    <cellStyle name="40% - akcent 1 2 24 6" xfId="2647"/>
    <cellStyle name="40% - akcent 1 2 25" xfId="2648"/>
    <cellStyle name="40% - akcent 1 2 25 2" xfId="2649"/>
    <cellStyle name="40% - akcent 1 2 25 3" xfId="2650"/>
    <cellStyle name="40% - akcent 1 2 25 4" xfId="2651"/>
    <cellStyle name="40% - akcent 1 2 25 5" xfId="2652"/>
    <cellStyle name="40% - akcent 1 2 25 6" xfId="2653"/>
    <cellStyle name="40% - akcent 1 2 26" xfId="2654"/>
    <cellStyle name="40% - akcent 1 2 26 2" xfId="2655"/>
    <cellStyle name="40% - akcent 1 2 26 3" xfId="2656"/>
    <cellStyle name="40% - akcent 1 2 26 4" xfId="2657"/>
    <cellStyle name="40% - akcent 1 2 26 5" xfId="2658"/>
    <cellStyle name="40% - akcent 1 2 26 6" xfId="2659"/>
    <cellStyle name="40% - akcent 1 2 27" xfId="2660"/>
    <cellStyle name="40% - akcent 1 2 27 2" xfId="2661"/>
    <cellStyle name="40% - akcent 1 2 27 3" xfId="2662"/>
    <cellStyle name="40% - akcent 1 2 27 4" xfId="2663"/>
    <cellStyle name="40% - akcent 1 2 27 5" xfId="2664"/>
    <cellStyle name="40% - akcent 1 2 27 6" xfId="2665"/>
    <cellStyle name="40% - akcent 1 2 28" xfId="2666"/>
    <cellStyle name="40% - akcent 1 2 28 2" xfId="2667"/>
    <cellStyle name="40% - akcent 1 2 28 3" xfId="2668"/>
    <cellStyle name="40% - akcent 1 2 28 4" xfId="2669"/>
    <cellStyle name="40% - akcent 1 2 28 5" xfId="2670"/>
    <cellStyle name="40% - akcent 1 2 28 6" xfId="2671"/>
    <cellStyle name="40% - akcent 1 2 29" xfId="2672"/>
    <cellStyle name="40% - akcent 1 2 29 2" xfId="2673"/>
    <cellStyle name="40% - akcent 1 2 3" xfId="2674"/>
    <cellStyle name="40% - akcent 1 2 3 2" xfId="2675"/>
    <cellStyle name="40% - akcent 1 2 3 3" xfId="2676"/>
    <cellStyle name="40% - akcent 1 2 3 4" xfId="2677"/>
    <cellStyle name="40% - akcent 1 2 3 5" xfId="2678"/>
    <cellStyle name="40% - akcent 1 2 3 6" xfId="2679"/>
    <cellStyle name="40% - akcent 1 2 3 7" xfId="2680"/>
    <cellStyle name="40% - akcent 1 2 30" xfId="2681"/>
    <cellStyle name="40% - akcent 1 2 30 2" xfId="2682"/>
    <cellStyle name="40% - akcent 1 2 31" xfId="2683"/>
    <cellStyle name="40% - akcent 1 2 31 2" xfId="2684"/>
    <cellStyle name="40% - akcent 1 2 32" xfId="2685"/>
    <cellStyle name="40% - akcent 1 2 32 2" xfId="2686"/>
    <cellStyle name="40% - akcent 1 2 33" xfId="2687"/>
    <cellStyle name="40% - akcent 1 2 34" xfId="2688"/>
    <cellStyle name="40% - akcent 1 2 35" xfId="2689"/>
    <cellStyle name="40% - akcent 1 2 36" xfId="2690"/>
    <cellStyle name="40% - akcent 1 2 37" xfId="2691"/>
    <cellStyle name="40% - akcent 1 2 38" xfId="2692"/>
    <cellStyle name="40% - akcent 1 2 39" xfId="2693"/>
    <cellStyle name="40% - akcent 1 2 4" xfId="2694"/>
    <cellStyle name="40% - akcent 1 2 4 2" xfId="2695"/>
    <cellStyle name="40% - akcent 1 2 4 3" xfId="2696"/>
    <cellStyle name="40% - akcent 1 2 4 4" xfId="2697"/>
    <cellStyle name="40% - akcent 1 2 4 5" xfId="2698"/>
    <cellStyle name="40% - akcent 1 2 4 6" xfId="2699"/>
    <cellStyle name="40% - akcent 1 2 4 7" xfId="2700"/>
    <cellStyle name="40% - akcent 1 2 40" xfId="2701"/>
    <cellStyle name="40% - akcent 1 2 41" xfId="2702"/>
    <cellStyle name="40% - akcent 1 2 42" xfId="2703"/>
    <cellStyle name="40% - akcent 1 2 43" xfId="2704"/>
    <cellStyle name="40% - akcent 1 2 44" xfId="2705"/>
    <cellStyle name="40% - akcent 1 2 45" xfId="2706"/>
    <cellStyle name="40% - akcent 1 2 46" xfId="2707"/>
    <cellStyle name="40% - akcent 1 2 47" xfId="2708"/>
    <cellStyle name="40% - akcent 1 2 48" xfId="2709"/>
    <cellStyle name="40% - akcent 1 2 49" xfId="2710"/>
    <cellStyle name="40% - akcent 1 2 5" xfId="2711"/>
    <cellStyle name="40% - akcent 1 2 5 2" xfId="2712"/>
    <cellStyle name="40% - akcent 1 2 5 3" xfId="2713"/>
    <cellStyle name="40% - akcent 1 2 5 4" xfId="2714"/>
    <cellStyle name="40% - akcent 1 2 5 5" xfId="2715"/>
    <cellStyle name="40% - akcent 1 2 5 6" xfId="2716"/>
    <cellStyle name="40% - akcent 1 2 50" xfId="2717"/>
    <cellStyle name="40% - akcent 1 2 51" xfId="2718"/>
    <cellStyle name="40% - akcent 1 2 6" xfId="2719"/>
    <cellStyle name="40% - akcent 1 2 6 2" xfId="2720"/>
    <cellStyle name="40% - akcent 1 2 6 3" xfId="2721"/>
    <cellStyle name="40% - akcent 1 2 6 4" xfId="2722"/>
    <cellStyle name="40% - akcent 1 2 6 5" xfId="2723"/>
    <cellStyle name="40% - akcent 1 2 6 6" xfId="2724"/>
    <cellStyle name="40% - akcent 1 2 7" xfId="2725"/>
    <cellStyle name="40% - akcent 1 2 7 2" xfId="2726"/>
    <cellStyle name="40% - akcent 1 2 7 3" xfId="2727"/>
    <cellStyle name="40% - akcent 1 2 7 4" xfId="2728"/>
    <cellStyle name="40% - akcent 1 2 7 5" xfId="2729"/>
    <cellStyle name="40% - akcent 1 2 7 6" xfId="2730"/>
    <cellStyle name="40% - akcent 1 2 8" xfId="2731"/>
    <cellStyle name="40% - akcent 1 2 8 2" xfId="2732"/>
    <cellStyle name="40% - akcent 1 2 8 3" xfId="2733"/>
    <cellStyle name="40% - akcent 1 2 8 4" xfId="2734"/>
    <cellStyle name="40% - akcent 1 2 8 5" xfId="2735"/>
    <cellStyle name="40% - akcent 1 2 8 6" xfId="2736"/>
    <cellStyle name="40% - akcent 1 2 9" xfId="2737"/>
    <cellStyle name="40% - akcent 1 2 9 2" xfId="2738"/>
    <cellStyle name="40% - akcent 1 2 9 3" xfId="2739"/>
    <cellStyle name="40% - akcent 1 2 9 4" xfId="2740"/>
    <cellStyle name="40% - akcent 1 2 9 5" xfId="2741"/>
    <cellStyle name="40% - akcent 1 2 9 6" xfId="2742"/>
    <cellStyle name="40% - akcent 1 20" xfId="2743"/>
    <cellStyle name="40% - akcent 1 21" xfId="2744"/>
    <cellStyle name="40% - akcent 1 22" xfId="2745"/>
    <cellStyle name="40% - akcent 1 23" xfId="2746"/>
    <cellStyle name="40% - akcent 1 24" xfId="2747"/>
    <cellStyle name="40% - akcent 1 25" xfId="2748"/>
    <cellStyle name="40% - akcent 1 26" xfId="2749"/>
    <cellStyle name="40% - akcent 1 27" xfId="2750"/>
    <cellStyle name="40% - akcent 1 28" xfId="2751"/>
    <cellStyle name="40% - akcent 1 29" xfId="2752"/>
    <cellStyle name="40% - akcent 1 3" xfId="2753"/>
    <cellStyle name="40% - akcent 1 3 2" xfId="2754"/>
    <cellStyle name="40% - akcent 1 3 2 2" xfId="2755"/>
    <cellStyle name="40% - akcent 1 3 3" xfId="2756"/>
    <cellStyle name="40% - akcent 1 3 3 2" xfId="2757"/>
    <cellStyle name="40% - akcent 1 3 4" xfId="2758"/>
    <cellStyle name="40% - akcent 1 3 4 2" xfId="2759"/>
    <cellStyle name="40% - akcent 1 3 5" xfId="2760"/>
    <cellStyle name="40% - akcent 1 3 6" xfId="2761"/>
    <cellStyle name="40% - akcent 1 3 7" xfId="2762"/>
    <cellStyle name="40% - akcent 1 3 8" xfId="2763"/>
    <cellStyle name="40% - akcent 1 30" xfId="2764"/>
    <cellStyle name="40% - akcent 1 30 2" xfId="2765"/>
    <cellStyle name="40% - akcent 1 31" xfId="2766"/>
    <cellStyle name="40% - akcent 1 31 2" xfId="2767"/>
    <cellStyle name="40% - akcent 1 32" xfId="2768"/>
    <cellStyle name="40% - akcent 1 32 2" xfId="2769"/>
    <cellStyle name="40% - akcent 1 33" xfId="2770"/>
    <cellStyle name="40% - akcent 1 33 2" xfId="2771"/>
    <cellStyle name="40% - akcent 1 34" xfId="2772"/>
    <cellStyle name="40% - akcent 1 34 2" xfId="2773"/>
    <cellStyle name="40% - akcent 1 35" xfId="2774"/>
    <cellStyle name="40% - akcent 1 35 2" xfId="2775"/>
    <cellStyle name="40% - akcent 1 36" xfId="2776"/>
    <cellStyle name="40% - akcent 1 36 2" xfId="2777"/>
    <cellStyle name="40% - akcent 1 37" xfId="2778"/>
    <cellStyle name="40% - akcent 1 37 2" xfId="2779"/>
    <cellStyle name="40% - akcent 1 38" xfId="2780"/>
    <cellStyle name="40% - akcent 1 38 2" xfId="2781"/>
    <cellStyle name="40% - akcent 1 39" xfId="2782"/>
    <cellStyle name="40% - akcent 1 39 2" xfId="2783"/>
    <cellStyle name="40% - akcent 1 4" xfId="2784"/>
    <cellStyle name="40% - akcent 1 4 2" xfId="2785"/>
    <cellStyle name="40% - akcent 1 4 2 2" xfId="2786"/>
    <cellStyle name="40% - akcent 1 4 3" xfId="2787"/>
    <cellStyle name="40% - akcent 1 4 3 2" xfId="2788"/>
    <cellStyle name="40% - akcent 1 4 4" xfId="2789"/>
    <cellStyle name="40% - akcent 1 4 4 2" xfId="2790"/>
    <cellStyle name="40% - akcent 1 4 5" xfId="2791"/>
    <cellStyle name="40% - akcent 1 4 6" xfId="2792"/>
    <cellStyle name="40% - akcent 1 4 7" xfId="2793"/>
    <cellStyle name="40% - akcent 1 4 8" xfId="2794"/>
    <cellStyle name="40% - akcent 1 40" xfId="2795"/>
    <cellStyle name="40% - akcent 1 40 2" xfId="2796"/>
    <cellStyle name="40% - akcent 1 41" xfId="2797"/>
    <cellStyle name="40% - akcent 1 41 2" xfId="2798"/>
    <cellStyle name="40% - akcent 1 42" xfId="2799"/>
    <cellStyle name="40% - akcent 1 42 2" xfId="2800"/>
    <cellStyle name="40% - akcent 1 43" xfId="2801"/>
    <cellStyle name="40% - akcent 1 43 2" xfId="2802"/>
    <cellStyle name="40% - akcent 1 44" xfId="2803"/>
    <cellStyle name="40% - akcent 1 44 2" xfId="2804"/>
    <cellStyle name="40% - akcent 1 45" xfId="2805"/>
    <cellStyle name="40% - akcent 1 45 2" xfId="2806"/>
    <cellStyle name="40% - akcent 1 46" xfId="2807"/>
    <cellStyle name="40% - akcent 1 46 2" xfId="2808"/>
    <cellStyle name="40% - akcent 1 47" xfId="2809"/>
    <cellStyle name="40% - akcent 1 47 2" xfId="2810"/>
    <cellStyle name="40% - akcent 1 48" xfId="2811"/>
    <cellStyle name="40% - akcent 1 48 2" xfId="2812"/>
    <cellStyle name="40% - akcent 1 49" xfId="2813"/>
    <cellStyle name="40% - akcent 1 49 2" xfId="2814"/>
    <cellStyle name="40% - akcent 1 5" xfId="2815"/>
    <cellStyle name="40% - akcent 1 5 2" xfId="2816"/>
    <cellStyle name="40% - akcent 1 5 3" xfId="2817"/>
    <cellStyle name="40% - akcent 1 50" xfId="2818"/>
    <cellStyle name="40% - akcent 1 50 2" xfId="2819"/>
    <cellStyle name="40% - akcent 1 51" xfId="2820"/>
    <cellStyle name="40% - akcent 1 51 2" xfId="2821"/>
    <cellStyle name="40% - akcent 1 52" xfId="2822"/>
    <cellStyle name="40% - akcent 1 52 2" xfId="2823"/>
    <cellStyle name="40% - akcent 1 53" xfId="2824"/>
    <cellStyle name="40% - akcent 1 53 2" xfId="2825"/>
    <cellStyle name="40% - akcent 1 54" xfId="2826"/>
    <cellStyle name="40% - akcent 1 54 2" xfId="2827"/>
    <cellStyle name="40% - akcent 1 55" xfId="2828"/>
    <cellStyle name="40% - akcent 1 55 2" xfId="2829"/>
    <cellStyle name="40% - akcent 1 56" xfId="2830"/>
    <cellStyle name="40% - akcent 1 56 2" xfId="2831"/>
    <cellStyle name="40% - akcent 1 57" xfId="2832"/>
    <cellStyle name="40% - akcent 1 57 2" xfId="2833"/>
    <cellStyle name="40% - akcent 1 58" xfId="2834"/>
    <cellStyle name="40% - akcent 1 58 2" xfId="2835"/>
    <cellStyle name="40% - akcent 1 59" xfId="2836"/>
    <cellStyle name="40% - akcent 1 59 2" xfId="2837"/>
    <cellStyle name="40% - akcent 1 6" xfId="2838"/>
    <cellStyle name="40% - akcent 1 60" xfId="2839"/>
    <cellStyle name="40% - akcent 1 60 2" xfId="2840"/>
    <cellStyle name="40% - akcent 1 61" xfId="2841"/>
    <cellStyle name="40% - akcent 1 61 2" xfId="2842"/>
    <cellStyle name="40% - akcent 1 62" xfId="2843"/>
    <cellStyle name="40% - akcent 1 62 2" xfId="2844"/>
    <cellStyle name="40% - akcent 1 63" xfId="2845"/>
    <cellStyle name="40% - akcent 1 63 2" xfId="2846"/>
    <cellStyle name="40% - akcent 1 64" xfId="2847"/>
    <cellStyle name="40% - akcent 1 64 2" xfId="2848"/>
    <cellStyle name="40% - akcent 1 65" xfId="2849"/>
    <cellStyle name="40% - akcent 1 65 2" xfId="2850"/>
    <cellStyle name="40% - akcent 1 66" xfId="2851"/>
    <cellStyle name="40% - akcent 1 66 2" xfId="2852"/>
    <cellStyle name="40% - akcent 1 67" xfId="2853"/>
    <cellStyle name="40% - akcent 1 67 2" xfId="2854"/>
    <cellStyle name="40% - akcent 1 68" xfId="2855"/>
    <cellStyle name="40% - akcent 1 68 2" xfId="2856"/>
    <cellStyle name="40% - akcent 1 69" xfId="2857"/>
    <cellStyle name="40% - akcent 1 69 2" xfId="2858"/>
    <cellStyle name="40% - akcent 1 7" xfId="2859"/>
    <cellStyle name="40% - akcent 1 70" xfId="2860"/>
    <cellStyle name="40% - akcent 1 70 2" xfId="2861"/>
    <cellStyle name="40% - akcent 1 71" xfId="2862"/>
    <cellStyle name="40% - akcent 1 71 2" xfId="2863"/>
    <cellStyle name="40% - akcent 1 72" xfId="2864"/>
    <cellStyle name="40% - akcent 1 72 2" xfId="2865"/>
    <cellStyle name="40% - akcent 1 73" xfId="2866"/>
    <cellStyle name="40% - akcent 1 73 2" xfId="2867"/>
    <cellStyle name="40% - akcent 1 74" xfId="2868"/>
    <cellStyle name="40% - akcent 1 74 2" xfId="2869"/>
    <cellStyle name="40% - akcent 1 75" xfId="2870"/>
    <cellStyle name="40% - akcent 1 75 2" xfId="2871"/>
    <cellStyle name="40% - akcent 1 76" xfId="2872"/>
    <cellStyle name="40% - akcent 1 76 2" xfId="2873"/>
    <cellStyle name="40% - akcent 1 77" xfId="2874"/>
    <cellStyle name="40% - akcent 1 77 2" xfId="2875"/>
    <cellStyle name="40% - akcent 1 78" xfId="2876"/>
    <cellStyle name="40% - akcent 1 78 2" xfId="2877"/>
    <cellStyle name="40% - akcent 1 79" xfId="2878"/>
    <cellStyle name="40% - akcent 1 79 2" xfId="2879"/>
    <cellStyle name="40% - akcent 1 8" xfId="2880"/>
    <cellStyle name="40% - akcent 1 80" xfId="2881"/>
    <cellStyle name="40% - akcent 1 80 2" xfId="2882"/>
    <cellStyle name="40% - akcent 1 81" xfId="2883"/>
    <cellStyle name="40% - akcent 1 81 2" xfId="2884"/>
    <cellStyle name="40% - akcent 1 82" xfId="2885"/>
    <cellStyle name="40% - akcent 1 82 2" xfId="2886"/>
    <cellStyle name="40% - akcent 1 83" xfId="2887"/>
    <cellStyle name="40% - akcent 1 83 2" xfId="2888"/>
    <cellStyle name="40% - akcent 1 84" xfId="2889"/>
    <cellStyle name="40% - akcent 1 84 2" xfId="2890"/>
    <cellStyle name="40% - akcent 1 85" xfId="2891"/>
    <cellStyle name="40% - akcent 1 85 2" xfId="2892"/>
    <cellStyle name="40% - akcent 1 86" xfId="2893"/>
    <cellStyle name="40% - akcent 1 86 2" xfId="2894"/>
    <cellStyle name="40% - akcent 1 87" xfId="2895"/>
    <cellStyle name="40% - akcent 1 87 2" xfId="2896"/>
    <cellStyle name="40% - akcent 1 88" xfId="2897"/>
    <cellStyle name="40% - akcent 1 88 2" xfId="2898"/>
    <cellStyle name="40% - akcent 1 89" xfId="2899"/>
    <cellStyle name="40% - akcent 1 89 2" xfId="2900"/>
    <cellStyle name="40% - akcent 1 9" xfId="2901"/>
    <cellStyle name="40% - akcent 1 90" xfId="2902"/>
    <cellStyle name="40% - akcent 1 90 2" xfId="2903"/>
    <cellStyle name="40% - akcent 1 91" xfId="2904"/>
    <cellStyle name="40% - akcent 1 91 2" xfId="2905"/>
    <cellStyle name="40% - akcent 1 92" xfId="2906"/>
    <cellStyle name="40% - akcent 1 92 2" xfId="2907"/>
    <cellStyle name="40% - akcent 1 93" xfId="2908"/>
    <cellStyle name="40% - akcent 1 93 2" xfId="2909"/>
    <cellStyle name="40% - akcent 1 94" xfId="2910"/>
    <cellStyle name="40% - akcent 1 94 2" xfId="2911"/>
    <cellStyle name="40% - akcent 1 95" xfId="2912"/>
    <cellStyle name="40% - akcent 1 95 2" xfId="2913"/>
    <cellStyle name="40% - akcent 1 96" xfId="2914"/>
    <cellStyle name="40% - akcent 1 96 2" xfId="2915"/>
    <cellStyle name="40% - akcent 1 97" xfId="2916"/>
    <cellStyle name="40% - akcent 1 97 2" xfId="2917"/>
    <cellStyle name="40% - akcent 1 98" xfId="2918"/>
    <cellStyle name="40% - akcent 1 98 2" xfId="2919"/>
    <cellStyle name="40% - akcent 1 99" xfId="2920"/>
    <cellStyle name="40% - akcent 1 99 2" xfId="2921"/>
    <cellStyle name="40% - akcent 2 10" xfId="2922"/>
    <cellStyle name="40% - akcent 2 100" xfId="2923"/>
    <cellStyle name="40% - akcent 2 100 2" xfId="2924"/>
    <cellStyle name="40% - akcent 2 101" xfId="2925"/>
    <cellStyle name="40% - akcent 2 101 2" xfId="2926"/>
    <cellStyle name="40% - akcent 2 102" xfId="2927"/>
    <cellStyle name="40% - akcent 2 102 2" xfId="2928"/>
    <cellStyle name="40% - akcent 2 103" xfId="2929"/>
    <cellStyle name="40% - akcent 2 103 2" xfId="2930"/>
    <cellStyle name="40% - akcent 2 104" xfId="2931"/>
    <cellStyle name="40% - akcent 2 104 2" xfId="2932"/>
    <cellStyle name="40% - akcent 2 105" xfId="2933"/>
    <cellStyle name="40% - akcent 2 105 2" xfId="2934"/>
    <cellStyle name="40% - akcent 2 106" xfId="2935"/>
    <cellStyle name="40% - akcent 2 106 2" xfId="2936"/>
    <cellStyle name="40% - akcent 2 107" xfId="2937"/>
    <cellStyle name="40% - akcent 2 107 2" xfId="2938"/>
    <cellStyle name="40% - akcent 2 108" xfId="2939"/>
    <cellStyle name="40% - akcent 2 108 2" xfId="2940"/>
    <cellStyle name="40% - akcent 2 109" xfId="2941"/>
    <cellStyle name="40% - akcent 2 109 2" xfId="2942"/>
    <cellStyle name="40% - akcent 2 11" xfId="2943"/>
    <cellStyle name="40% - akcent 2 110" xfId="2944"/>
    <cellStyle name="40% - akcent 2 110 2" xfId="2945"/>
    <cellStyle name="40% - akcent 2 111" xfId="2946"/>
    <cellStyle name="40% - akcent 2 111 2" xfId="2947"/>
    <cellStyle name="40% - akcent 2 112" xfId="2948"/>
    <cellStyle name="40% - akcent 2 112 2" xfId="2949"/>
    <cellStyle name="40% - akcent 2 113" xfId="2950"/>
    <cellStyle name="40% - akcent 2 113 2" xfId="2951"/>
    <cellStyle name="40% - akcent 2 114" xfId="2952"/>
    <cellStyle name="40% - akcent 2 114 2" xfId="2953"/>
    <cellStyle name="40% - akcent 2 115" xfId="2954"/>
    <cellStyle name="40% - akcent 2 115 2" xfId="2955"/>
    <cellStyle name="40% - akcent 2 116" xfId="2956"/>
    <cellStyle name="40% - akcent 2 116 2" xfId="2957"/>
    <cellStyle name="40% - akcent 2 117" xfId="2958"/>
    <cellStyle name="40% - akcent 2 117 2" xfId="2959"/>
    <cellStyle name="40% - akcent 2 118" xfId="2960"/>
    <cellStyle name="40% - akcent 2 118 2" xfId="2961"/>
    <cellStyle name="40% - akcent 2 119" xfId="2962"/>
    <cellStyle name="40% - akcent 2 119 2" xfId="2963"/>
    <cellStyle name="40% - akcent 2 12" xfId="2964"/>
    <cellStyle name="40% - akcent 2 120" xfId="2965"/>
    <cellStyle name="40% - akcent 2 121" xfId="2966"/>
    <cellStyle name="40% - akcent 2 13" xfId="2967"/>
    <cellStyle name="40% - akcent 2 14" xfId="2968"/>
    <cellStyle name="40% - akcent 2 15" xfId="2969"/>
    <cellStyle name="40% - akcent 2 16" xfId="2970"/>
    <cellStyle name="40% - akcent 2 17" xfId="2971"/>
    <cellStyle name="40% - akcent 2 18" xfId="2972"/>
    <cellStyle name="40% - akcent 2 19" xfId="2973"/>
    <cellStyle name="40% - akcent 2 2" xfId="2974"/>
    <cellStyle name="40% - akcent 2 2 10" xfId="2975"/>
    <cellStyle name="40% - akcent 2 2 10 2" xfId="2976"/>
    <cellStyle name="40% - akcent 2 2 10 3" xfId="2977"/>
    <cellStyle name="40% - akcent 2 2 10 4" xfId="2978"/>
    <cellStyle name="40% - akcent 2 2 10 5" xfId="2979"/>
    <cellStyle name="40% - akcent 2 2 10 6" xfId="2980"/>
    <cellStyle name="40% - akcent 2 2 11" xfId="2981"/>
    <cellStyle name="40% - akcent 2 2 11 2" xfId="2982"/>
    <cellStyle name="40% - akcent 2 2 11 3" xfId="2983"/>
    <cellStyle name="40% - akcent 2 2 11 4" xfId="2984"/>
    <cellStyle name="40% - akcent 2 2 11 5" xfId="2985"/>
    <cellStyle name="40% - akcent 2 2 11 6" xfId="2986"/>
    <cellStyle name="40% - akcent 2 2 12" xfId="2987"/>
    <cellStyle name="40% - akcent 2 2 12 2" xfId="2988"/>
    <cellStyle name="40% - akcent 2 2 12 3" xfId="2989"/>
    <cellStyle name="40% - akcent 2 2 12 4" xfId="2990"/>
    <cellStyle name="40% - akcent 2 2 12 5" xfId="2991"/>
    <cellStyle name="40% - akcent 2 2 12 6" xfId="2992"/>
    <cellStyle name="40% - akcent 2 2 13" xfId="2993"/>
    <cellStyle name="40% - akcent 2 2 13 2" xfId="2994"/>
    <cellStyle name="40% - akcent 2 2 13 3" xfId="2995"/>
    <cellStyle name="40% - akcent 2 2 13 4" xfId="2996"/>
    <cellStyle name="40% - akcent 2 2 13 5" xfId="2997"/>
    <cellStyle name="40% - akcent 2 2 13 6" xfId="2998"/>
    <cellStyle name="40% - akcent 2 2 14" xfId="2999"/>
    <cellStyle name="40% - akcent 2 2 14 2" xfId="3000"/>
    <cellStyle name="40% - akcent 2 2 14 3" xfId="3001"/>
    <cellStyle name="40% - akcent 2 2 14 4" xfId="3002"/>
    <cellStyle name="40% - akcent 2 2 14 5" xfId="3003"/>
    <cellStyle name="40% - akcent 2 2 14 6" xfId="3004"/>
    <cellStyle name="40% - akcent 2 2 15" xfId="3005"/>
    <cellStyle name="40% - akcent 2 2 15 2" xfId="3006"/>
    <cellStyle name="40% - akcent 2 2 15 3" xfId="3007"/>
    <cellStyle name="40% - akcent 2 2 15 4" xfId="3008"/>
    <cellStyle name="40% - akcent 2 2 15 5" xfId="3009"/>
    <cellStyle name="40% - akcent 2 2 15 6" xfId="3010"/>
    <cellStyle name="40% - akcent 2 2 16" xfId="3011"/>
    <cellStyle name="40% - akcent 2 2 16 2" xfId="3012"/>
    <cellStyle name="40% - akcent 2 2 16 3" xfId="3013"/>
    <cellStyle name="40% - akcent 2 2 16 4" xfId="3014"/>
    <cellStyle name="40% - akcent 2 2 16 5" xfId="3015"/>
    <cellStyle name="40% - akcent 2 2 16 6" xfId="3016"/>
    <cellStyle name="40% - akcent 2 2 17" xfId="3017"/>
    <cellStyle name="40% - akcent 2 2 17 2" xfId="3018"/>
    <cellStyle name="40% - akcent 2 2 17 3" xfId="3019"/>
    <cellStyle name="40% - akcent 2 2 17 4" xfId="3020"/>
    <cellStyle name="40% - akcent 2 2 17 5" xfId="3021"/>
    <cellStyle name="40% - akcent 2 2 17 6" xfId="3022"/>
    <cellStyle name="40% - akcent 2 2 18" xfId="3023"/>
    <cellStyle name="40% - akcent 2 2 18 2" xfId="3024"/>
    <cellStyle name="40% - akcent 2 2 18 3" xfId="3025"/>
    <cellStyle name="40% - akcent 2 2 18 4" xfId="3026"/>
    <cellStyle name="40% - akcent 2 2 18 5" xfId="3027"/>
    <cellStyle name="40% - akcent 2 2 18 6" xfId="3028"/>
    <cellStyle name="40% - akcent 2 2 19" xfId="3029"/>
    <cellStyle name="40% - akcent 2 2 19 2" xfId="3030"/>
    <cellStyle name="40% - akcent 2 2 19 3" xfId="3031"/>
    <cellStyle name="40% - akcent 2 2 19 4" xfId="3032"/>
    <cellStyle name="40% - akcent 2 2 19 5" xfId="3033"/>
    <cellStyle name="40% - akcent 2 2 19 6" xfId="3034"/>
    <cellStyle name="40% - akcent 2 2 2" xfId="3035"/>
    <cellStyle name="40% - akcent 2 2 2 2" xfId="3036"/>
    <cellStyle name="40% - akcent 2 2 2 3" xfId="3037"/>
    <cellStyle name="40% - akcent 2 2 2 4" xfId="3038"/>
    <cellStyle name="40% - akcent 2 2 2 5" xfId="3039"/>
    <cellStyle name="40% - akcent 2 2 2 6" xfId="3040"/>
    <cellStyle name="40% - akcent 2 2 2 7" xfId="3041"/>
    <cellStyle name="40% - akcent 2 2 20" xfId="3042"/>
    <cellStyle name="40% - akcent 2 2 20 2" xfId="3043"/>
    <cellStyle name="40% - akcent 2 2 20 3" xfId="3044"/>
    <cellStyle name="40% - akcent 2 2 20 4" xfId="3045"/>
    <cellStyle name="40% - akcent 2 2 20 5" xfId="3046"/>
    <cellStyle name="40% - akcent 2 2 20 6" xfId="3047"/>
    <cellStyle name="40% - akcent 2 2 21" xfId="3048"/>
    <cellStyle name="40% - akcent 2 2 21 2" xfId="3049"/>
    <cellStyle name="40% - akcent 2 2 21 3" xfId="3050"/>
    <cellStyle name="40% - akcent 2 2 21 4" xfId="3051"/>
    <cellStyle name="40% - akcent 2 2 21 5" xfId="3052"/>
    <cellStyle name="40% - akcent 2 2 21 6" xfId="3053"/>
    <cellStyle name="40% - akcent 2 2 22" xfId="3054"/>
    <cellStyle name="40% - akcent 2 2 22 2" xfId="3055"/>
    <cellStyle name="40% - akcent 2 2 22 3" xfId="3056"/>
    <cellStyle name="40% - akcent 2 2 22 4" xfId="3057"/>
    <cellStyle name="40% - akcent 2 2 22 5" xfId="3058"/>
    <cellStyle name="40% - akcent 2 2 22 6" xfId="3059"/>
    <cellStyle name="40% - akcent 2 2 23" xfId="3060"/>
    <cellStyle name="40% - akcent 2 2 23 2" xfId="3061"/>
    <cellStyle name="40% - akcent 2 2 23 3" xfId="3062"/>
    <cellStyle name="40% - akcent 2 2 23 4" xfId="3063"/>
    <cellStyle name="40% - akcent 2 2 23 5" xfId="3064"/>
    <cellStyle name="40% - akcent 2 2 23 6" xfId="3065"/>
    <cellStyle name="40% - akcent 2 2 24" xfId="3066"/>
    <cellStyle name="40% - akcent 2 2 24 2" xfId="3067"/>
    <cellStyle name="40% - akcent 2 2 24 3" xfId="3068"/>
    <cellStyle name="40% - akcent 2 2 24 4" xfId="3069"/>
    <cellStyle name="40% - akcent 2 2 24 5" xfId="3070"/>
    <cellStyle name="40% - akcent 2 2 24 6" xfId="3071"/>
    <cellStyle name="40% - akcent 2 2 25" xfId="3072"/>
    <cellStyle name="40% - akcent 2 2 25 2" xfId="3073"/>
    <cellStyle name="40% - akcent 2 2 25 3" xfId="3074"/>
    <cellStyle name="40% - akcent 2 2 25 4" xfId="3075"/>
    <cellStyle name="40% - akcent 2 2 25 5" xfId="3076"/>
    <cellStyle name="40% - akcent 2 2 25 6" xfId="3077"/>
    <cellStyle name="40% - akcent 2 2 26" xfId="3078"/>
    <cellStyle name="40% - akcent 2 2 26 2" xfId="3079"/>
    <cellStyle name="40% - akcent 2 2 26 3" xfId="3080"/>
    <cellStyle name="40% - akcent 2 2 26 4" xfId="3081"/>
    <cellStyle name="40% - akcent 2 2 26 5" xfId="3082"/>
    <cellStyle name="40% - akcent 2 2 26 6" xfId="3083"/>
    <cellStyle name="40% - akcent 2 2 27" xfId="3084"/>
    <cellStyle name="40% - akcent 2 2 27 2" xfId="3085"/>
    <cellStyle name="40% - akcent 2 2 27 3" xfId="3086"/>
    <cellStyle name="40% - akcent 2 2 27 4" xfId="3087"/>
    <cellStyle name="40% - akcent 2 2 27 5" xfId="3088"/>
    <cellStyle name="40% - akcent 2 2 27 6" xfId="3089"/>
    <cellStyle name="40% - akcent 2 2 28" xfId="3090"/>
    <cellStyle name="40% - akcent 2 2 28 2" xfId="3091"/>
    <cellStyle name="40% - akcent 2 2 28 3" xfId="3092"/>
    <cellStyle name="40% - akcent 2 2 28 4" xfId="3093"/>
    <cellStyle name="40% - akcent 2 2 28 5" xfId="3094"/>
    <cellStyle name="40% - akcent 2 2 28 6" xfId="3095"/>
    <cellStyle name="40% - akcent 2 2 29" xfId="3096"/>
    <cellStyle name="40% - akcent 2 2 29 2" xfId="3097"/>
    <cellStyle name="40% - akcent 2 2 3" xfId="3098"/>
    <cellStyle name="40% - akcent 2 2 3 2" xfId="3099"/>
    <cellStyle name="40% - akcent 2 2 3 3" xfId="3100"/>
    <cellStyle name="40% - akcent 2 2 3 4" xfId="3101"/>
    <cellStyle name="40% - akcent 2 2 3 5" xfId="3102"/>
    <cellStyle name="40% - akcent 2 2 3 6" xfId="3103"/>
    <cellStyle name="40% - akcent 2 2 3 7" xfId="3104"/>
    <cellStyle name="40% - akcent 2 2 30" xfId="3105"/>
    <cellStyle name="40% - akcent 2 2 30 2" xfId="3106"/>
    <cellStyle name="40% - akcent 2 2 31" xfId="3107"/>
    <cellStyle name="40% - akcent 2 2 31 2" xfId="3108"/>
    <cellStyle name="40% - akcent 2 2 32" xfId="3109"/>
    <cellStyle name="40% - akcent 2 2 32 2" xfId="3110"/>
    <cellStyle name="40% - akcent 2 2 33" xfId="3111"/>
    <cellStyle name="40% - akcent 2 2 34" xfId="3112"/>
    <cellStyle name="40% - akcent 2 2 35" xfId="3113"/>
    <cellStyle name="40% - akcent 2 2 36" xfId="3114"/>
    <cellStyle name="40% - akcent 2 2 37" xfId="3115"/>
    <cellStyle name="40% - akcent 2 2 38" xfId="3116"/>
    <cellStyle name="40% - akcent 2 2 39" xfId="3117"/>
    <cellStyle name="40% - akcent 2 2 4" xfId="3118"/>
    <cellStyle name="40% - akcent 2 2 4 2" xfId="3119"/>
    <cellStyle name="40% - akcent 2 2 4 3" xfId="3120"/>
    <cellStyle name="40% - akcent 2 2 4 4" xfId="3121"/>
    <cellStyle name="40% - akcent 2 2 4 5" xfId="3122"/>
    <cellStyle name="40% - akcent 2 2 4 6" xfId="3123"/>
    <cellStyle name="40% - akcent 2 2 4 7" xfId="3124"/>
    <cellStyle name="40% - akcent 2 2 40" xfId="3125"/>
    <cellStyle name="40% - akcent 2 2 41" xfId="3126"/>
    <cellStyle name="40% - akcent 2 2 42" xfId="3127"/>
    <cellStyle name="40% - akcent 2 2 43" xfId="3128"/>
    <cellStyle name="40% - akcent 2 2 44" xfId="3129"/>
    <cellStyle name="40% - akcent 2 2 45" xfId="3130"/>
    <cellStyle name="40% - akcent 2 2 46" xfId="3131"/>
    <cellStyle name="40% - akcent 2 2 47" xfId="3132"/>
    <cellStyle name="40% - akcent 2 2 48" xfId="3133"/>
    <cellStyle name="40% - akcent 2 2 49" xfId="3134"/>
    <cellStyle name="40% - akcent 2 2 5" xfId="3135"/>
    <cellStyle name="40% - akcent 2 2 5 2" xfId="3136"/>
    <cellStyle name="40% - akcent 2 2 5 3" xfId="3137"/>
    <cellStyle name="40% - akcent 2 2 5 4" xfId="3138"/>
    <cellStyle name="40% - akcent 2 2 5 5" xfId="3139"/>
    <cellStyle name="40% - akcent 2 2 5 6" xfId="3140"/>
    <cellStyle name="40% - akcent 2 2 50" xfId="3141"/>
    <cellStyle name="40% - akcent 2 2 51" xfId="3142"/>
    <cellStyle name="40% - akcent 2 2 6" xfId="3143"/>
    <cellStyle name="40% - akcent 2 2 6 2" xfId="3144"/>
    <cellStyle name="40% - akcent 2 2 6 3" xfId="3145"/>
    <cellStyle name="40% - akcent 2 2 6 4" xfId="3146"/>
    <cellStyle name="40% - akcent 2 2 6 5" xfId="3147"/>
    <cellStyle name="40% - akcent 2 2 6 6" xfId="3148"/>
    <cellStyle name="40% - akcent 2 2 7" xfId="3149"/>
    <cellStyle name="40% - akcent 2 2 7 2" xfId="3150"/>
    <cellStyle name="40% - akcent 2 2 7 3" xfId="3151"/>
    <cellStyle name="40% - akcent 2 2 7 4" xfId="3152"/>
    <cellStyle name="40% - akcent 2 2 7 5" xfId="3153"/>
    <cellStyle name="40% - akcent 2 2 7 6" xfId="3154"/>
    <cellStyle name="40% - akcent 2 2 8" xfId="3155"/>
    <cellStyle name="40% - akcent 2 2 8 2" xfId="3156"/>
    <cellStyle name="40% - akcent 2 2 8 3" xfId="3157"/>
    <cellStyle name="40% - akcent 2 2 8 4" xfId="3158"/>
    <cellStyle name="40% - akcent 2 2 8 5" xfId="3159"/>
    <cellStyle name="40% - akcent 2 2 8 6" xfId="3160"/>
    <cellStyle name="40% - akcent 2 2 9" xfId="3161"/>
    <cellStyle name="40% - akcent 2 2 9 2" xfId="3162"/>
    <cellStyle name="40% - akcent 2 2 9 3" xfId="3163"/>
    <cellStyle name="40% - akcent 2 2 9 4" xfId="3164"/>
    <cellStyle name="40% - akcent 2 2 9 5" xfId="3165"/>
    <cellStyle name="40% - akcent 2 2 9 6" xfId="3166"/>
    <cellStyle name="40% - akcent 2 20" xfId="3167"/>
    <cellStyle name="40% - akcent 2 21" xfId="3168"/>
    <cellStyle name="40% - akcent 2 22" xfId="3169"/>
    <cellStyle name="40% - akcent 2 23" xfId="3170"/>
    <cellStyle name="40% - akcent 2 24" xfId="3171"/>
    <cellStyle name="40% - akcent 2 25" xfId="3172"/>
    <cellStyle name="40% - akcent 2 26" xfId="3173"/>
    <cellStyle name="40% - akcent 2 27" xfId="3174"/>
    <cellStyle name="40% - akcent 2 28" xfId="3175"/>
    <cellStyle name="40% - akcent 2 29" xfId="3176"/>
    <cellStyle name="40% - akcent 2 3" xfId="3177"/>
    <cellStyle name="40% - akcent 2 3 2" xfId="3178"/>
    <cellStyle name="40% - akcent 2 3 2 2" xfId="3179"/>
    <cellStyle name="40% - akcent 2 3 3" xfId="3180"/>
    <cellStyle name="40% - akcent 2 3 3 2" xfId="3181"/>
    <cellStyle name="40% - akcent 2 3 4" xfId="3182"/>
    <cellStyle name="40% - akcent 2 3 4 2" xfId="3183"/>
    <cellStyle name="40% - akcent 2 3 5" xfId="3184"/>
    <cellStyle name="40% - akcent 2 3 6" xfId="3185"/>
    <cellStyle name="40% - akcent 2 3 7" xfId="3186"/>
    <cellStyle name="40% - akcent 2 3 8" xfId="3187"/>
    <cellStyle name="40% - akcent 2 30" xfId="3188"/>
    <cellStyle name="40% - akcent 2 30 2" xfId="3189"/>
    <cellStyle name="40% - akcent 2 31" xfId="3190"/>
    <cellStyle name="40% - akcent 2 31 2" xfId="3191"/>
    <cellStyle name="40% - akcent 2 32" xfId="3192"/>
    <cellStyle name="40% - akcent 2 32 2" xfId="3193"/>
    <cellStyle name="40% - akcent 2 33" xfId="3194"/>
    <cellStyle name="40% - akcent 2 33 2" xfId="3195"/>
    <cellStyle name="40% - akcent 2 34" xfId="3196"/>
    <cellStyle name="40% - akcent 2 34 2" xfId="3197"/>
    <cellStyle name="40% - akcent 2 35" xfId="3198"/>
    <cellStyle name="40% - akcent 2 35 2" xfId="3199"/>
    <cellStyle name="40% - akcent 2 36" xfId="3200"/>
    <cellStyle name="40% - akcent 2 36 2" xfId="3201"/>
    <cellStyle name="40% - akcent 2 37" xfId="3202"/>
    <cellStyle name="40% - akcent 2 37 2" xfId="3203"/>
    <cellStyle name="40% - akcent 2 38" xfId="3204"/>
    <cellStyle name="40% - akcent 2 38 2" xfId="3205"/>
    <cellStyle name="40% - akcent 2 39" xfId="3206"/>
    <cellStyle name="40% - akcent 2 39 2" xfId="3207"/>
    <cellStyle name="40% - akcent 2 4" xfId="3208"/>
    <cellStyle name="40% - akcent 2 4 2" xfId="3209"/>
    <cellStyle name="40% - akcent 2 4 2 2" xfId="3210"/>
    <cellStyle name="40% - akcent 2 4 3" xfId="3211"/>
    <cellStyle name="40% - akcent 2 4 3 2" xfId="3212"/>
    <cellStyle name="40% - akcent 2 4 4" xfId="3213"/>
    <cellStyle name="40% - akcent 2 4 4 2" xfId="3214"/>
    <cellStyle name="40% - akcent 2 4 5" xfId="3215"/>
    <cellStyle name="40% - akcent 2 4 6" xfId="3216"/>
    <cellStyle name="40% - akcent 2 4 7" xfId="3217"/>
    <cellStyle name="40% - akcent 2 4 8" xfId="3218"/>
    <cellStyle name="40% - akcent 2 40" xfId="3219"/>
    <cellStyle name="40% - akcent 2 40 2" xfId="3220"/>
    <cellStyle name="40% - akcent 2 41" xfId="3221"/>
    <cellStyle name="40% - akcent 2 41 2" xfId="3222"/>
    <cellStyle name="40% - akcent 2 42" xfId="3223"/>
    <cellStyle name="40% - akcent 2 42 2" xfId="3224"/>
    <cellStyle name="40% - akcent 2 43" xfId="3225"/>
    <cellStyle name="40% - akcent 2 43 2" xfId="3226"/>
    <cellStyle name="40% - akcent 2 44" xfId="3227"/>
    <cellStyle name="40% - akcent 2 44 2" xfId="3228"/>
    <cellStyle name="40% - akcent 2 45" xfId="3229"/>
    <cellStyle name="40% - akcent 2 45 2" xfId="3230"/>
    <cellStyle name="40% - akcent 2 46" xfId="3231"/>
    <cellStyle name="40% - akcent 2 46 2" xfId="3232"/>
    <cellStyle name="40% - akcent 2 47" xfId="3233"/>
    <cellStyle name="40% - akcent 2 47 2" xfId="3234"/>
    <cellStyle name="40% - akcent 2 48" xfId="3235"/>
    <cellStyle name="40% - akcent 2 48 2" xfId="3236"/>
    <cellStyle name="40% - akcent 2 49" xfId="3237"/>
    <cellStyle name="40% - akcent 2 49 2" xfId="3238"/>
    <cellStyle name="40% - akcent 2 5" xfId="3239"/>
    <cellStyle name="40% - akcent 2 5 2" xfId="3240"/>
    <cellStyle name="40% - akcent 2 5 3" xfId="3241"/>
    <cellStyle name="40% - akcent 2 50" xfId="3242"/>
    <cellStyle name="40% - akcent 2 50 2" xfId="3243"/>
    <cellStyle name="40% - akcent 2 51" xfId="3244"/>
    <cellStyle name="40% - akcent 2 51 2" xfId="3245"/>
    <cellStyle name="40% - akcent 2 52" xfId="3246"/>
    <cellStyle name="40% - akcent 2 52 2" xfId="3247"/>
    <cellStyle name="40% - akcent 2 53" xfId="3248"/>
    <cellStyle name="40% - akcent 2 53 2" xfId="3249"/>
    <cellStyle name="40% - akcent 2 54" xfId="3250"/>
    <cellStyle name="40% - akcent 2 54 2" xfId="3251"/>
    <cellStyle name="40% - akcent 2 55" xfId="3252"/>
    <cellStyle name="40% - akcent 2 55 2" xfId="3253"/>
    <cellStyle name="40% - akcent 2 56" xfId="3254"/>
    <cellStyle name="40% - akcent 2 56 2" xfId="3255"/>
    <cellStyle name="40% - akcent 2 57" xfId="3256"/>
    <cellStyle name="40% - akcent 2 57 2" xfId="3257"/>
    <cellStyle name="40% - akcent 2 58" xfId="3258"/>
    <cellStyle name="40% - akcent 2 58 2" xfId="3259"/>
    <cellStyle name="40% - akcent 2 59" xfId="3260"/>
    <cellStyle name="40% - akcent 2 59 2" xfId="3261"/>
    <cellStyle name="40% - akcent 2 6" xfId="3262"/>
    <cellStyle name="40% - akcent 2 60" xfId="3263"/>
    <cellStyle name="40% - akcent 2 60 2" xfId="3264"/>
    <cellStyle name="40% - akcent 2 61" xfId="3265"/>
    <cellStyle name="40% - akcent 2 61 2" xfId="3266"/>
    <cellStyle name="40% - akcent 2 62" xfId="3267"/>
    <cellStyle name="40% - akcent 2 62 2" xfId="3268"/>
    <cellStyle name="40% - akcent 2 63" xfId="3269"/>
    <cellStyle name="40% - akcent 2 63 2" xfId="3270"/>
    <cellStyle name="40% - akcent 2 64" xfId="3271"/>
    <cellStyle name="40% - akcent 2 64 2" xfId="3272"/>
    <cellStyle name="40% - akcent 2 65" xfId="3273"/>
    <cellStyle name="40% - akcent 2 65 2" xfId="3274"/>
    <cellStyle name="40% - akcent 2 66" xfId="3275"/>
    <cellStyle name="40% - akcent 2 66 2" xfId="3276"/>
    <cellStyle name="40% - akcent 2 67" xfId="3277"/>
    <cellStyle name="40% - akcent 2 67 2" xfId="3278"/>
    <cellStyle name="40% - akcent 2 68" xfId="3279"/>
    <cellStyle name="40% - akcent 2 68 2" xfId="3280"/>
    <cellStyle name="40% - akcent 2 69" xfId="3281"/>
    <cellStyle name="40% - akcent 2 69 2" xfId="3282"/>
    <cellStyle name="40% - akcent 2 7" xfId="3283"/>
    <cellStyle name="40% - akcent 2 70" xfId="3284"/>
    <cellStyle name="40% - akcent 2 70 2" xfId="3285"/>
    <cellStyle name="40% - akcent 2 71" xfId="3286"/>
    <cellStyle name="40% - akcent 2 71 2" xfId="3287"/>
    <cellStyle name="40% - akcent 2 72" xfId="3288"/>
    <cellStyle name="40% - akcent 2 72 2" xfId="3289"/>
    <cellStyle name="40% - akcent 2 73" xfId="3290"/>
    <cellStyle name="40% - akcent 2 73 2" xfId="3291"/>
    <cellStyle name="40% - akcent 2 74" xfId="3292"/>
    <cellStyle name="40% - akcent 2 74 2" xfId="3293"/>
    <cellStyle name="40% - akcent 2 75" xfId="3294"/>
    <cellStyle name="40% - akcent 2 75 2" xfId="3295"/>
    <cellStyle name="40% - akcent 2 76" xfId="3296"/>
    <cellStyle name="40% - akcent 2 76 2" xfId="3297"/>
    <cellStyle name="40% - akcent 2 77" xfId="3298"/>
    <cellStyle name="40% - akcent 2 77 2" xfId="3299"/>
    <cellStyle name="40% - akcent 2 78" xfId="3300"/>
    <cellStyle name="40% - akcent 2 78 2" xfId="3301"/>
    <cellStyle name="40% - akcent 2 79" xfId="3302"/>
    <cellStyle name="40% - akcent 2 79 2" xfId="3303"/>
    <cellStyle name="40% - akcent 2 8" xfId="3304"/>
    <cellStyle name="40% - akcent 2 80" xfId="3305"/>
    <cellStyle name="40% - akcent 2 80 2" xfId="3306"/>
    <cellStyle name="40% - akcent 2 81" xfId="3307"/>
    <cellStyle name="40% - akcent 2 81 2" xfId="3308"/>
    <cellStyle name="40% - akcent 2 82" xfId="3309"/>
    <cellStyle name="40% - akcent 2 82 2" xfId="3310"/>
    <cellStyle name="40% - akcent 2 83" xfId="3311"/>
    <cellStyle name="40% - akcent 2 83 2" xfId="3312"/>
    <cellStyle name="40% - akcent 2 84" xfId="3313"/>
    <cellStyle name="40% - akcent 2 84 2" xfId="3314"/>
    <cellStyle name="40% - akcent 2 85" xfId="3315"/>
    <cellStyle name="40% - akcent 2 85 2" xfId="3316"/>
    <cellStyle name="40% - akcent 2 86" xfId="3317"/>
    <cellStyle name="40% - akcent 2 86 2" xfId="3318"/>
    <cellStyle name="40% - akcent 2 87" xfId="3319"/>
    <cellStyle name="40% - akcent 2 87 2" xfId="3320"/>
    <cellStyle name="40% - akcent 2 88" xfId="3321"/>
    <cellStyle name="40% - akcent 2 88 2" xfId="3322"/>
    <cellStyle name="40% - akcent 2 89" xfId="3323"/>
    <cellStyle name="40% - akcent 2 89 2" xfId="3324"/>
    <cellStyle name="40% - akcent 2 9" xfId="3325"/>
    <cellStyle name="40% - akcent 2 90" xfId="3326"/>
    <cellStyle name="40% - akcent 2 90 2" xfId="3327"/>
    <cellStyle name="40% - akcent 2 91" xfId="3328"/>
    <cellStyle name="40% - akcent 2 91 2" xfId="3329"/>
    <cellStyle name="40% - akcent 2 92" xfId="3330"/>
    <cellStyle name="40% - akcent 2 92 2" xfId="3331"/>
    <cellStyle name="40% - akcent 2 93" xfId="3332"/>
    <cellStyle name="40% - akcent 2 93 2" xfId="3333"/>
    <cellStyle name="40% - akcent 2 94" xfId="3334"/>
    <cellStyle name="40% - akcent 2 94 2" xfId="3335"/>
    <cellStyle name="40% - akcent 2 95" xfId="3336"/>
    <cellStyle name="40% - akcent 2 95 2" xfId="3337"/>
    <cellStyle name="40% - akcent 2 96" xfId="3338"/>
    <cellStyle name="40% - akcent 2 96 2" xfId="3339"/>
    <cellStyle name="40% - akcent 2 97" xfId="3340"/>
    <cellStyle name="40% - akcent 2 97 2" xfId="3341"/>
    <cellStyle name="40% - akcent 2 98" xfId="3342"/>
    <cellStyle name="40% - akcent 2 98 2" xfId="3343"/>
    <cellStyle name="40% - akcent 2 99" xfId="3344"/>
    <cellStyle name="40% - akcent 2 99 2" xfId="3345"/>
    <cellStyle name="40% - akcent 3 10" xfId="3346"/>
    <cellStyle name="40% - akcent 3 100" xfId="3347"/>
    <cellStyle name="40% - akcent 3 100 2" xfId="3348"/>
    <cellStyle name="40% - akcent 3 101" xfId="3349"/>
    <cellStyle name="40% - akcent 3 101 2" xfId="3350"/>
    <cellStyle name="40% - akcent 3 102" xfId="3351"/>
    <cellStyle name="40% - akcent 3 102 2" xfId="3352"/>
    <cellStyle name="40% - akcent 3 103" xfId="3353"/>
    <cellStyle name="40% - akcent 3 103 2" xfId="3354"/>
    <cellStyle name="40% - akcent 3 104" xfId="3355"/>
    <cellStyle name="40% - akcent 3 104 2" xfId="3356"/>
    <cellStyle name="40% - akcent 3 105" xfId="3357"/>
    <cellStyle name="40% - akcent 3 105 2" xfId="3358"/>
    <cellStyle name="40% - akcent 3 106" xfId="3359"/>
    <cellStyle name="40% - akcent 3 106 2" xfId="3360"/>
    <cellStyle name="40% - akcent 3 107" xfId="3361"/>
    <cellStyle name="40% - akcent 3 107 2" xfId="3362"/>
    <cellStyle name="40% - akcent 3 108" xfId="3363"/>
    <cellStyle name="40% - akcent 3 108 2" xfId="3364"/>
    <cellStyle name="40% - akcent 3 109" xfId="3365"/>
    <cellStyle name="40% - akcent 3 109 2" xfId="3366"/>
    <cellStyle name="40% - akcent 3 11" xfId="3367"/>
    <cellStyle name="40% - akcent 3 110" xfId="3368"/>
    <cellStyle name="40% - akcent 3 110 2" xfId="3369"/>
    <cellStyle name="40% - akcent 3 111" xfId="3370"/>
    <cellStyle name="40% - akcent 3 111 2" xfId="3371"/>
    <cellStyle name="40% - akcent 3 112" xfId="3372"/>
    <cellStyle name="40% - akcent 3 112 2" xfId="3373"/>
    <cellStyle name="40% - akcent 3 113" xfId="3374"/>
    <cellStyle name="40% - akcent 3 113 2" xfId="3375"/>
    <cellStyle name="40% - akcent 3 114" xfId="3376"/>
    <cellStyle name="40% - akcent 3 114 2" xfId="3377"/>
    <cellStyle name="40% - akcent 3 115" xfId="3378"/>
    <cellStyle name="40% - akcent 3 115 2" xfId="3379"/>
    <cellStyle name="40% - akcent 3 116" xfId="3380"/>
    <cellStyle name="40% - akcent 3 116 2" xfId="3381"/>
    <cellStyle name="40% - akcent 3 117" xfId="3382"/>
    <cellStyle name="40% - akcent 3 117 2" xfId="3383"/>
    <cellStyle name="40% - akcent 3 118" xfId="3384"/>
    <cellStyle name="40% - akcent 3 118 2" xfId="3385"/>
    <cellStyle name="40% - akcent 3 119" xfId="3386"/>
    <cellStyle name="40% - akcent 3 119 2" xfId="3387"/>
    <cellStyle name="40% - akcent 3 12" xfId="3388"/>
    <cellStyle name="40% - akcent 3 120" xfId="3389"/>
    <cellStyle name="40% - akcent 3 121" xfId="3390"/>
    <cellStyle name="40% - akcent 3 13" xfId="3391"/>
    <cellStyle name="40% - akcent 3 14" xfId="3392"/>
    <cellStyle name="40% - akcent 3 15" xfId="3393"/>
    <cellStyle name="40% - akcent 3 16" xfId="3394"/>
    <cellStyle name="40% - akcent 3 17" xfId="3395"/>
    <cellStyle name="40% - akcent 3 18" xfId="3396"/>
    <cellStyle name="40% - akcent 3 19" xfId="3397"/>
    <cellStyle name="40% - akcent 3 2" xfId="3398"/>
    <cellStyle name="40% - akcent 3 2 10" xfId="3399"/>
    <cellStyle name="40% - akcent 3 2 10 2" xfId="3400"/>
    <cellStyle name="40% - akcent 3 2 10 3" xfId="3401"/>
    <cellStyle name="40% - akcent 3 2 10 4" xfId="3402"/>
    <cellStyle name="40% - akcent 3 2 10 5" xfId="3403"/>
    <cellStyle name="40% - akcent 3 2 10 6" xfId="3404"/>
    <cellStyle name="40% - akcent 3 2 11" xfId="3405"/>
    <cellStyle name="40% - akcent 3 2 11 2" xfId="3406"/>
    <cellStyle name="40% - akcent 3 2 11 3" xfId="3407"/>
    <cellStyle name="40% - akcent 3 2 11 4" xfId="3408"/>
    <cellStyle name="40% - akcent 3 2 11 5" xfId="3409"/>
    <cellStyle name="40% - akcent 3 2 11 6" xfId="3410"/>
    <cellStyle name="40% - akcent 3 2 12" xfId="3411"/>
    <cellStyle name="40% - akcent 3 2 12 2" xfId="3412"/>
    <cellStyle name="40% - akcent 3 2 12 3" xfId="3413"/>
    <cellStyle name="40% - akcent 3 2 12 4" xfId="3414"/>
    <cellStyle name="40% - akcent 3 2 12 5" xfId="3415"/>
    <cellStyle name="40% - akcent 3 2 12 6" xfId="3416"/>
    <cellStyle name="40% - akcent 3 2 13" xfId="3417"/>
    <cellStyle name="40% - akcent 3 2 13 2" xfId="3418"/>
    <cellStyle name="40% - akcent 3 2 13 3" xfId="3419"/>
    <cellStyle name="40% - akcent 3 2 13 4" xfId="3420"/>
    <cellStyle name="40% - akcent 3 2 13 5" xfId="3421"/>
    <cellStyle name="40% - akcent 3 2 13 6" xfId="3422"/>
    <cellStyle name="40% - akcent 3 2 14" xfId="3423"/>
    <cellStyle name="40% - akcent 3 2 14 2" xfId="3424"/>
    <cellStyle name="40% - akcent 3 2 14 3" xfId="3425"/>
    <cellStyle name="40% - akcent 3 2 14 4" xfId="3426"/>
    <cellStyle name="40% - akcent 3 2 14 5" xfId="3427"/>
    <cellStyle name="40% - akcent 3 2 14 6" xfId="3428"/>
    <cellStyle name="40% - akcent 3 2 15" xfId="3429"/>
    <cellStyle name="40% - akcent 3 2 15 2" xfId="3430"/>
    <cellStyle name="40% - akcent 3 2 15 3" xfId="3431"/>
    <cellStyle name="40% - akcent 3 2 15 4" xfId="3432"/>
    <cellStyle name="40% - akcent 3 2 15 5" xfId="3433"/>
    <cellStyle name="40% - akcent 3 2 15 6" xfId="3434"/>
    <cellStyle name="40% - akcent 3 2 16" xfId="3435"/>
    <cellStyle name="40% - akcent 3 2 16 2" xfId="3436"/>
    <cellStyle name="40% - akcent 3 2 16 3" xfId="3437"/>
    <cellStyle name="40% - akcent 3 2 16 4" xfId="3438"/>
    <cellStyle name="40% - akcent 3 2 16 5" xfId="3439"/>
    <cellStyle name="40% - akcent 3 2 16 6" xfId="3440"/>
    <cellStyle name="40% - akcent 3 2 17" xfId="3441"/>
    <cellStyle name="40% - akcent 3 2 17 2" xfId="3442"/>
    <cellStyle name="40% - akcent 3 2 17 3" xfId="3443"/>
    <cellStyle name="40% - akcent 3 2 17 4" xfId="3444"/>
    <cellStyle name="40% - akcent 3 2 17 5" xfId="3445"/>
    <cellStyle name="40% - akcent 3 2 17 6" xfId="3446"/>
    <cellStyle name="40% - akcent 3 2 18" xfId="3447"/>
    <cellStyle name="40% - akcent 3 2 18 2" xfId="3448"/>
    <cellStyle name="40% - akcent 3 2 18 3" xfId="3449"/>
    <cellStyle name="40% - akcent 3 2 18 4" xfId="3450"/>
    <cellStyle name="40% - akcent 3 2 18 5" xfId="3451"/>
    <cellStyle name="40% - akcent 3 2 18 6" xfId="3452"/>
    <cellStyle name="40% - akcent 3 2 19" xfId="3453"/>
    <cellStyle name="40% - akcent 3 2 19 2" xfId="3454"/>
    <cellStyle name="40% - akcent 3 2 19 3" xfId="3455"/>
    <cellStyle name="40% - akcent 3 2 19 4" xfId="3456"/>
    <cellStyle name="40% - akcent 3 2 19 5" xfId="3457"/>
    <cellStyle name="40% - akcent 3 2 19 6" xfId="3458"/>
    <cellStyle name="40% - akcent 3 2 2" xfId="3459"/>
    <cellStyle name="40% - akcent 3 2 2 2" xfId="3460"/>
    <cellStyle name="40% - akcent 3 2 2 3" xfId="3461"/>
    <cellStyle name="40% - akcent 3 2 2 4" xfId="3462"/>
    <cellStyle name="40% - akcent 3 2 2 5" xfId="3463"/>
    <cellStyle name="40% - akcent 3 2 2 6" xfId="3464"/>
    <cellStyle name="40% - akcent 3 2 2 7" xfId="3465"/>
    <cellStyle name="40% - akcent 3 2 20" xfId="3466"/>
    <cellStyle name="40% - akcent 3 2 20 2" xfId="3467"/>
    <cellStyle name="40% - akcent 3 2 20 3" xfId="3468"/>
    <cellStyle name="40% - akcent 3 2 20 4" xfId="3469"/>
    <cellStyle name="40% - akcent 3 2 20 5" xfId="3470"/>
    <cellStyle name="40% - akcent 3 2 20 6" xfId="3471"/>
    <cellStyle name="40% - akcent 3 2 21" xfId="3472"/>
    <cellStyle name="40% - akcent 3 2 21 2" xfId="3473"/>
    <cellStyle name="40% - akcent 3 2 21 3" xfId="3474"/>
    <cellStyle name="40% - akcent 3 2 21 4" xfId="3475"/>
    <cellStyle name="40% - akcent 3 2 21 5" xfId="3476"/>
    <cellStyle name="40% - akcent 3 2 21 6" xfId="3477"/>
    <cellStyle name="40% - akcent 3 2 22" xfId="3478"/>
    <cellStyle name="40% - akcent 3 2 22 2" xfId="3479"/>
    <cellStyle name="40% - akcent 3 2 22 3" xfId="3480"/>
    <cellStyle name="40% - akcent 3 2 22 4" xfId="3481"/>
    <cellStyle name="40% - akcent 3 2 22 5" xfId="3482"/>
    <cellStyle name="40% - akcent 3 2 22 6" xfId="3483"/>
    <cellStyle name="40% - akcent 3 2 23" xfId="3484"/>
    <cellStyle name="40% - akcent 3 2 23 2" xfId="3485"/>
    <cellStyle name="40% - akcent 3 2 23 3" xfId="3486"/>
    <cellStyle name="40% - akcent 3 2 23 4" xfId="3487"/>
    <cellStyle name="40% - akcent 3 2 23 5" xfId="3488"/>
    <cellStyle name="40% - akcent 3 2 23 6" xfId="3489"/>
    <cellStyle name="40% - akcent 3 2 24" xfId="3490"/>
    <cellStyle name="40% - akcent 3 2 24 2" xfId="3491"/>
    <cellStyle name="40% - akcent 3 2 24 3" xfId="3492"/>
    <cellStyle name="40% - akcent 3 2 24 4" xfId="3493"/>
    <cellStyle name="40% - akcent 3 2 24 5" xfId="3494"/>
    <cellStyle name="40% - akcent 3 2 24 6" xfId="3495"/>
    <cellStyle name="40% - akcent 3 2 25" xfId="3496"/>
    <cellStyle name="40% - akcent 3 2 25 2" xfId="3497"/>
    <cellStyle name="40% - akcent 3 2 25 3" xfId="3498"/>
    <cellStyle name="40% - akcent 3 2 25 4" xfId="3499"/>
    <cellStyle name="40% - akcent 3 2 25 5" xfId="3500"/>
    <cellStyle name="40% - akcent 3 2 25 6" xfId="3501"/>
    <cellStyle name="40% - akcent 3 2 26" xfId="3502"/>
    <cellStyle name="40% - akcent 3 2 26 2" xfId="3503"/>
    <cellStyle name="40% - akcent 3 2 26 3" xfId="3504"/>
    <cellStyle name="40% - akcent 3 2 26 4" xfId="3505"/>
    <cellStyle name="40% - akcent 3 2 26 5" xfId="3506"/>
    <cellStyle name="40% - akcent 3 2 26 6" xfId="3507"/>
    <cellStyle name="40% - akcent 3 2 27" xfId="3508"/>
    <cellStyle name="40% - akcent 3 2 27 2" xfId="3509"/>
    <cellStyle name="40% - akcent 3 2 27 3" xfId="3510"/>
    <cellStyle name="40% - akcent 3 2 27 4" xfId="3511"/>
    <cellStyle name="40% - akcent 3 2 27 5" xfId="3512"/>
    <cellStyle name="40% - akcent 3 2 27 6" xfId="3513"/>
    <cellStyle name="40% - akcent 3 2 28" xfId="3514"/>
    <cellStyle name="40% - akcent 3 2 28 2" xfId="3515"/>
    <cellStyle name="40% - akcent 3 2 28 3" xfId="3516"/>
    <cellStyle name="40% - akcent 3 2 28 4" xfId="3517"/>
    <cellStyle name="40% - akcent 3 2 28 5" xfId="3518"/>
    <cellStyle name="40% - akcent 3 2 28 6" xfId="3519"/>
    <cellStyle name="40% - akcent 3 2 29" xfId="3520"/>
    <cellStyle name="40% - akcent 3 2 29 2" xfId="3521"/>
    <cellStyle name="40% - akcent 3 2 3" xfId="3522"/>
    <cellStyle name="40% - akcent 3 2 3 2" xfId="3523"/>
    <cellStyle name="40% - akcent 3 2 3 3" xfId="3524"/>
    <cellStyle name="40% - akcent 3 2 3 4" xfId="3525"/>
    <cellStyle name="40% - akcent 3 2 3 5" xfId="3526"/>
    <cellStyle name="40% - akcent 3 2 3 6" xfId="3527"/>
    <cellStyle name="40% - akcent 3 2 3 7" xfId="3528"/>
    <cellStyle name="40% - akcent 3 2 30" xfId="3529"/>
    <cellStyle name="40% - akcent 3 2 30 2" xfId="3530"/>
    <cellStyle name="40% - akcent 3 2 31" xfId="3531"/>
    <cellStyle name="40% - akcent 3 2 31 2" xfId="3532"/>
    <cellStyle name="40% - akcent 3 2 32" xfId="3533"/>
    <cellStyle name="40% - akcent 3 2 32 2" xfId="3534"/>
    <cellStyle name="40% - akcent 3 2 33" xfId="3535"/>
    <cellStyle name="40% - akcent 3 2 34" xfId="3536"/>
    <cellStyle name="40% - akcent 3 2 35" xfId="3537"/>
    <cellStyle name="40% - akcent 3 2 36" xfId="3538"/>
    <cellStyle name="40% - akcent 3 2 37" xfId="3539"/>
    <cellStyle name="40% - akcent 3 2 38" xfId="3540"/>
    <cellStyle name="40% - akcent 3 2 39" xfId="3541"/>
    <cellStyle name="40% - akcent 3 2 4" xfId="3542"/>
    <cellStyle name="40% - akcent 3 2 4 2" xfId="3543"/>
    <cellStyle name="40% - akcent 3 2 4 3" xfId="3544"/>
    <cellStyle name="40% - akcent 3 2 4 4" xfId="3545"/>
    <cellStyle name="40% - akcent 3 2 4 5" xfId="3546"/>
    <cellStyle name="40% - akcent 3 2 4 6" xfId="3547"/>
    <cellStyle name="40% - akcent 3 2 4 7" xfId="3548"/>
    <cellStyle name="40% - akcent 3 2 40" xfId="3549"/>
    <cellStyle name="40% - akcent 3 2 41" xfId="3550"/>
    <cellStyle name="40% - akcent 3 2 42" xfId="3551"/>
    <cellStyle name="40% - akcent 3 2 43" xfId="3552"/>
    <cellStyle name="40% - akcent 3 2 44" xfId="3553"/>
    <cellStyle name="40% - akcent 3 2 45" xfId="3554"/>
    <cellStyle name="40% - akcent 3 2 46" xfId="3555"/>
    <cellStyle name="40% - akcent 3 2 47" xfId="3556"/>
    <cellStyle name="40% - akcent 3 2 48" xfId="3557"/>
    <cellStyle name="40% - akcent 3 2 49" xfId="3558"/>
    <cellStyle name="40% - akcent 3 2 5" xfId="3559"/>
    <cellStyle name="40% - akcent 3 2 5 2" xfId="3560"/>
    <cellStyle name="40% - akcent 3 2 5 3" xfId="3561"/>
    <cellStyle name="40% - akcent 3 2 5 4" xfId="3562"/>
    <cellStyle name="40% - akcent 3 2 5 5" xfId="3563"/>
    <cellStyle name="40% - akcent 3 2 5 6" xfId="3564"/>
    <cellStyle name="40% - akcent 3 2 50" xfId="3565"/>
    <cellStyle name="40% - akcent 3 2 51" xfId="3566"/>
    <cellStyle name="40% - akcent 3 2 6" xfId="3567"/>
    <cellStyle name="40% - akcent 3 2 6 2" xfId="3568"/>
    <cellStyle name="40% - akcent 3 2 6 3" xfId="3569"/>
    <cellStyle name="40% - akcent 3 2 6 4" xfId="3570"/>
    <cellStyle name="40% - akcent 3 2 6 5" xfId="3571"/>
    <cellStyle name="40% - akcent 3 2 6 6" xfId="3572"/>
    <cellStyle name="40% - akcent 3 2 7" xfId="3573"/>
    <cellStyle name="40% - akcent 3 2 7 2" xfId="3574"/>
    <cellStyle name="40% - akcent 3 2 7 3" xfId="3575"/>
    <cellStyle name="40% - akcent 3 2 7 4" xfId="3576"/>
    <cellStyle name="40% - akcent 3 2 7 5" xfId="3577"/>
    <cellStyle name="40% - akcent 3 2 7 6" xfId="3578"/>
    <cellStyle name="40% - akcent 3 2 8" xfId="3579"/>
    <cellStyle name="40% - akcent 3 2 8 2" xfId="3580"/>
    <cellStyle name="40% - akcent 3 2 8 3" xfId="3581"/>
    <cellStyle name="40% - akcent 3 2 8 4" xfId="3582"/>
    <cellStyle name="40% - akcent 3 2 8 5" xfId="3583"/>
    <cellStyle name="40% - akcent 3 2 8 6" xfId="3584"/>
    <cellStyle name="40% - akcent 3 2 9" xfId="3585"/>
    <cellStyle name="40% - akcent 3 2 9 2" xfId="3586"/>
    <cellStyle name="40% - akcent 3 2 9 3" xfId="3587"/>
    <cellStyle name="40% - akcent 3 2 9 4" xfId="3588"/>
    <cellStyle name="40% - akcent 3 2 9 5" xfId="3589"/>
    <cellStyle name="40% - akcent 3 2 9 6" xfId="3590"/>
    <cellStyle name="40% - akcent 3 20" xfId="3591"/>
    <cellStyle name="40% - akcent 3 21" xfId="3592"/>
    <cellStyle name="40% - akcent 3 22" xfId="3593"/>
    <cellStyle name="40% - akcent 3 23" xfId="3594"/>
    <cellStyle name="40% - akcent 3 24" xfId="3595"/>
    <cellStyle name="40% - akcent 3 25" xfId="3596"/>
    <cellStyle name="40% - akcent 3 26" xfId="3597"/>
    <cellStyle name="40% - akcent 3 27" xfId="3598"/>
    <cellStyle name="40% - akcent 3 28" xfId="3599"/>
    <cellStyle name="40% - akcent 3 29" xfId="3600"/>
    <cellStyle name="40% - akcent 3 3" xfId="3601"/>
    <cellStyle name="40% - akcent 3 3 2" xfId="3602"/>
    <cellStyle name="40% - akcent 3 3 2 2" xfId="3603"/>
    <cellStyle name="40% - akcent 3 3 3" xfId="3604"/>
    <cellStyle name="40% - akcent 3 3 3 2" xfId="3605"/>
    <cellStyle name="40% - akcent 3 3 4" xfId="3606"/>
    <cellStyle name="40% - akcent 3 3 4 2" xfId="3607"/>
    <cellStyle name="40% - akcent 3 3 5" xfId="3608"/>
    <cellStyle name="40% - akcent 3 3 6" xfId="3609"/>
    <cellStyle name="40% - akcent 3 3 7" xfId="3610"/>
    <cellStyle name="40% - akcent 3 3 8" xfId="3611"/>
    <cellStyle name="40% - akcent 3 30" xfId="3612"/>
    <cellStyle name="40% - akcent 3 30 2" xfId="3613"/>
    <cellStyle name="40% - akcent 3 31" xfId="3614"/>
    <cellStyle name="40% - akcent 3 31 2" xfId="3615"/>
    <cellStyle name="40% - akcent 3 32" xfId="3616"/>
    <cellStyle name="40% - akcent 3 32 2" xfId="3617"/>
    <cellStyle name="40% - akcent 3 33" xfId="3618"/>
    <cellStyle name="40% - akcent 3 33 2" xfId="3619"/>
    <cellStyle name="40% - akcent 3 34" xfId="3620"/>
    <cellStyle name="40% - akcent 3 34 2" xfId="3621"/>
    <cellStyle name="40% - akcent 3 35" xfId="3622"/>
    <cellStyle name="40% - akcent 3 35 2" xfId="3623"/>
    <cellStyle name="40% - akcent 3 36" xfId="3624"/>
    <cellStyle name="40% - akcent 3 36 2" xfId="3625"/>
    <cellStyle name="40% - akcent 3 37" xfId="3626"/>
    <cellStyle name="40% - akcent 3 37 2" xfId="3627"/>
    <cellStyle name="40% - akcent 3 38" xfId="3628"/>
    <cellStyle name="40% - akcent 3 38 2" xfId="3629"/>
    <cellStyle name="40% - akcent 3 39" xfId="3630"/>
    <cellStyle name="40% - akcent 3 39 2" xfId="3631"/>
    <cellStyle name="40% - akcent 3 4" xfId="3632"/>
    <cellStyle name="40% - akcent 3 4 2" xfId="3633"/>
    <cellStyle name="40% - akcent 3 4 2 2" xfId="3634"/>
    <cellStyle name="40% - akcent 3 4 3" xfId="3635"/>
    <cellStyle name="40% - akcent 3 4 3 2" xfId="3636"/>
    <cellStyle name="40% - akcent 3 4 4" xfId="3637"/>
    <cellStyle name="40% - akcent 3 4 4 2" xfId="3638"/>
    <cellStyle name="40% - akcent 3 4 5" xfId="3639"/>
    <cellStyle name="40% - akcent 3 4 6" xfId="3640"/>
    <cellStyle name="40% - akcent 3 4 7" xfId="3641"/>
    <cellStyle name="40% - akcent 3 4 8" xfId="3642"/>
    <cellStyle name="40% - akcent 3 40" xfId="3643"/>
    <cellStyle name="40% - akcent 3 40 2" xfId="3644"/>
    <cellStyle name="40% - akcent 3 41" xfId="3645"/>
    <cellStyle name="40% - akcent 3 41 2" xfId="3646"/>
    <cellStyle name="40% - akcent 3 42" xfId="3647"/>
    <cellStyle name="40% - akcent 3 42 2" xfId="3648"/>
    <cellStyle name="40% - akcent 3 43" xfId="3649"/>
    <cellStyle name="40% - akcent 3 43 2" xfId="3650"/>
    <cellStyle name="40% - akcent 3 44" xfId="3651"/>
    <cellStyle name="40% - akcent 3 44 2" xfId="3652"/>
    <cellStyle name="40% - akcent 3 45" xfId="3653"/>
    <cellStyle name="40% - akcent 3 45 2" xfId="3654"/>
    <cellStyle name="40% - akcent 3 46" xfId="3655"/>
    <cellStyle name="40% - akcent 3 46 2" xfId="3656"/>
    <cellStyle name="40% - akcent 3 47" xfId="3657"/>
    <cellStyle name="40% - akcent 3 47 2" xfId="3658"/>
    <cellStyle name="40% - akcent 3 48" xfId="3659"/>
    <cellStyle name="40% - akcent 3 48 2" xfId="3660"/>
    <cellStyle name="40% - akcent 3 49" xfId="3661"/>
    <cellStyle name="40% - akcent 3 49 2" xfId="3662"/>
    <cellStyle name="40% - akcent 3 5" xfId="3663"/>
    <cellStyle name="40% - akcent 3 5 2" xfId="3664"/>
    <cellStyle name="40% - akcent 3 5 3" xfId="3665"/>
    <cellStyle name="40% - akcent 3 50" xfId="3666"/>
    <cellStyle name="40% - akcent 3 50 2" xfId="3667"/>
    <cellStyle name="40% - akcent 3 51" xfId="3668"/>
    <cellStyle name="40% - akcent 3 51 2" xfId="3669"/>
    <cellStyle name="40% - akcent 3 52" xfId="3670"/>
    <cellStyle name="40% - akcent 3 52 2" xfId="3671"/>
    <cellStyle name="40% - akcent 3 53" xfId="3672"/>
    <cellStyle name="40% - akcent 3 53 2" xfId="3673"/>
    <cellStyle name="40% - akcent 3 54" xfId="3674"/>
    <cellStyle name="40% - akcent 3 54 2" xfId="3675"/>
    <cellStyle name="40% - akcent 3 55" xfId="3676"/>
    <cellStyle name="40% - akcent 3 55 2" xfId="3677"/>
    <cellStyle name="40% - akcent 3 56" xfId="3678"/>
    <cellStyle name="40% - akcent 3 56 2" xfId="3679"/>
    <cellStyle name="40% - akcent 3 57" xfId="3680"/>
    <cellStyle name="40% - akcent 3 57 2" xfId="3681"/>
    <cellStyle name="40% - akcent 3 58" xfId="3682"/>
    <cellStyle name="40% - akcent 3 58 2" xfId="3683"/>
    <cellStyle name="40% - akcent 3 59" xfId="3684"/>
    <cellStyle name="40% - akcent 3 59 2" xfId="3685"/>
    <cellStyle name="40% - akcent 3 6" xfId="3686"/>
    <cellStyle name="40% - akcent 3 60" xfId="3687"/>
    <cellStyle name="40% - akcent 3 60 2" xfId="3688"/>
    <cellStyle name="40% - akcent 3 61" xfId="3689"/>
    <cellStyle name="40% - akcent 3 61 2" xfId="3690"/>
    <cellStyle name="40% - akcent 3 62" xfId="3691"/>
    <cellStyle name="40% - akcent 3 62 2" xfId="3692"/>
    <cellStyle name="40% - akcent 3 63" xfId="3693"/>
    <cellStyle name="40% - akcent 3 63 2" xfId="3694"/>
    <cellStyle name="40% - akcent 3 64" xfId="3695"/>
    <cellStyle name="40% - akcent 3 64 2" xfId="3696"/>
    <cellStyle name="40% - akcent 3 65" xfId="3697"/>
    <cellStyle name="40% - akcent 3 65 2" xfId="3698"/>
    <cellStyle name="40% - akcent 3 66" xfId="3699"/>
    <cellStyle name="40% - akcent 3 66 2" xfId="3700"/>
    <cellStyle name="40% - akcent 3 67" xfId="3701"/>
    <cellStyle name="40% - akcent 3 67 2" xfId="3702"/>
    <cellStyle name="40% - akcent 3 68" xfId="3703"/>
    <cellStyle name="40% - akcent 3 68 2" xfId="3704"/>
    <cellStyle name="40% - akcent 3 69" xfId="3705"/>
    <cellStyle name="40% - akcent 3 69 2" xfId="3706"/>
    <cellStyle name="40% - akcent 3 7" xfId="3707"/>
    <cellStyle name="40% - akcent 3 70" xfId="3708"/>
    <cellStyle name="40% - akcent 3 70 2" xfId="3709"/>
    <cellStyle name="40% - akcent 3 71" xfId="3710"/>
    <cellStyle name="40% - akcent 3 71 2" xfId="3711"/>
    <cellStyle name="40% - akcent 3 72" xfId="3712"/>
    <cellStyle name="40% - akcent 3 72 2" xfId="3713"/>
    <cellStyle name="40% - akcent 3 73" xfId="3714"/>
    <cellStyle name="40% - akcent 3 73 2" xfId="3715"/>
    <cellStyle name="40% - akcent 3 74" xfId="3716"/>
    <cellStyle name="40% - akcent 3 74 2" xfId="3717"/>
    <cellStyle name="40% - akcent 3 75" xfId="3718"/>
    <cellStyle name="40% - akcent 3 75 2" xfId="3719"/>
    <cellStyle name="40% - akcent 3 76" xfId="3720"/>
    <cellStyle name="40% - akcent 3 76 2" xfId="3721"/>
    <cellStyle name="40% - akcent 3 77" xfId="3722"/>
    <cellStyle name="40% - akcent 3 77 2" xfId="3723"/>
    <cellStyle name="40% - akcent 3 78" xfId="3724"/>
    <cellStyle name="40% - akcent 3 78 2" xfId="3725"/>
    <cellStyle name="40% - akcent 3 79" xfId="3726"/>
    <cellStyle name="40% - akcent 3 79 2" xfId="3727"/>
    <cellStyle name="40% - akcent 3 8" xfId="3728"/>
    <cellStyle name="40% - akcent 3 80" xfId="3729"/>
    <cellStyle name="40% - akcent 3 80 2" xfId="3730"/>
    <cellStyle name="40% - akcent 3 81" xfId="3731"/>
    <cellStyle name="40% - akcent 3 81 2" xfId="3732"/>
    <cellStyle name="40% - akcent 3 82" xfId="3733"/>
    <cellStyle name="40% - akcent 3 82 2" xfId="3734"/>
    <cellStyle name="40% - akcent 3 83" xfId="3735"/>
    <cellStyle name="40% - akcent 3 83 2" xfId="3736"/>
    <cellStyle name="40% - akcent 3 84" xfId="3737"/>
    <cellStyle name="40% - akcent 3 84 2" xfId="3738"/>
    <cellStyle name="40% - akcent 3 85" xfId="3739"/>
    <cellStyle name="40% - akcent 3 85 2" xfId="3740"/>
    <cellStyle name="40% - akcent 3 86" xfId="3741"/>
    <cellStyle name="40% - akcent 3 86 2" xfId="3742"/>
    <cellStyle name="40% - akcent 3 87" xfId="3743"/>
    <cellStyle name="40% - akcent 3 87 2" xfId="3744"/>
    <cellStyle name="40% - akcent 3 88" xfId="3745"/>
    <cellStyle name="40% - akcent 3 88 2" xfId="3746"/>
    <cellStyle name="40% - akcent 3 89" xfId="3747"/>
    <cellStyle name="40% - akcent 3 89 2" xfId="3748"/>
    <cellStyle name="40% - akcent 3 9" xfId="3749"/>
    <cellStyle name="40% - akcent 3 90" xfId="3750"/>
    <cellStyle name="40% - akcent 3 90 2" xfId="3751"/>
    <cellStyle name="40% - akcent 3 91" xfId="3752"/>
    <cellStyle name="40% - akcent 3 91 2" xfId="3753"/>
    <cellStyle name="40% - akcent 3 92" xfId="3754"/>
    <cellStyle name="40% - akcent 3 92 2" xfId="3755"/>
    <cellStyle name="40% - akcent 3 93" xfId="3756"/>
    <cellStyle name="40% - akcent 3 93 2" xfId="3757"/>
    <cellStyle name="40% - akcent 3 94" xfId="3758"/>
    <cellStyle name="40% - akcent 3 94 2" xfId="3759"/>
    <cellStyle name="40% - akcent 3 95" xfId="3760"/>
    <cellStyle name="40% - akcent 3 95 2" xfId="3761"/>
    <cellStyle name="40% - akcent 3 96" xfId="3762"/>
    <cellStyle name="40% - akcent 3 96 2" xfId="3763"/>
    <cellStyle name="40% - akcent 3 97" xfId="3764"/>
    <cellStyle name="40% - akcent 3 97 2" xfId="3765"/>
    <cellStyle name="40% - akcent 3 98" xfId="3766"/>
    <cellStyle name="40% - akcent 3 98 2" xfId="3767"/>
    <cellStyle name="40% - akcent 3 99" xfId="3768"/>
    <cellStyle name="40% - akcent 3 99 2" xfId="3769"/>
    <cellStyle name="40% - akcent 4 10" xfId="3770"/>
    <cellStyle name="40% - akcent 4 100" xfId="3771"/>
    <cellStyle name="40% - akcent 4 100 2" xfId="3772"/>
    <cellStyle name="40% - akcent 4 101" xfId="3773"/>
    <cellStyle name="40% - akcent 4 101 2" xfId="3774"/>
    <cellStyle name="40% - akcent 4 102" xfId="3775"/>
    <cellStyle name="40% - akcent 4 102 2" xfId="3776"/>
    <cellStyle name="40% - akcent 4 103" xfId="3777"/>
    <cellStyle name="40% - akcent 4 103 2" xfId="3778"/>
    <cellStyle name="40% - akcent 4 104" xfId="3779"/>
    <cellStyle name="40% - akcent 4 104 2" xfId="3780"/>
    <cellStyle name="40% - akcent 4 105" xfId="3781"/>
    <cellStyle name="40% - akcent 4 105 2" xfId="3782"/>
    <cellStyle name="40% - akcent 4 106" xfId="3783"/>
    <cellStyle name="40% - akcent 4 106 2" xfId="3784"/>
    <cellStyle name="40% - akcent 4 107" xfId="3785"/>
    <cellStyle name="40% - akcent 4 107 2" xfId="3786"/>
    <cellStyle name="40% - akcent 4 108" xfId="3787"/>
    <cellStyle name="40% - akcent 4 108 2" xfId="3788"/>
    <cellStyle name="40% - akcent 4 109" xfId="3789"/>
    <cellStyle name="40% - akcent 4 109 2" xfId="3790"/>
    <cellStyle name="40% - akcent 4 11" xfId="3791"/>
    <cellStyle name="40% - akcent 4 110" xfId="3792"/>
    <cellStyle name="40% - akcent 4 110 2" xfId="3793"/>
    <cellStyle name="40% - akcent 4 111" xfId="3794"/>
    <cellStyle name="40% - akcent 4 111 2" xfId="3795"/>
    <cellStyle name="40% - akcent 4 112" xfId="3796"/>
    <cellStyle name="40% - akcent 4 112 2" xfId="3797"/>
    <cellStyle name="40% - akcent 4 113" xfId="3798"/>
    <cellStyle name="40% - akcent 4 113 2" xfId="3799"/>
    <cellStyle name="40% - akcent 4 114" xfId="3800"/>
    <cellStyle name="40% - akcent 4 114 2" xfId="3801"/>
    <cellStyle name="40% - akcent 4 115" xfId="3802"/>
    <cellStyle name="40% - akcent 4 115 2" xfId="3803"/>
    <cellStyle name="40% - akcent 4 116" xfId="3804"/>
    <cellStyle name="40% - akcent 4 116 2" xfId="3805"/>
    <cellStyle name="40% - akcent 4 117" xfId="3806"/>
    <cellStyle name="40% - akcent 4 117 2" xfId="3807"/>
    <cellStyle name="40% - akcent 4 118" xfId="3808"/>
    <cellStyle name="40% - akcent 4 118 2" xfId="3809"/>
    <cellStyle name="40% - akcent 4 119" xfId="3810"/>
    <cellStyle name="40% - akcent 4 119 2" xfId="3811"/>
    <cellStyle name="40% - akcent 4 12" xfId="3812"/>
    <cellStyle name="40% - akcent 4 120" xfId="3813"/>
    <cellStyle name="40% - akcent 4 121" xfId="3814"/>
    <cellStyle name="40% - akcent 4 13" xfId="3815"/>
    <cellStyle name="40% - akcent 4 14" xfId="3816"/>
    <cellStyle name="40% - akcent 4 15" xfId="3817"/>
    <cellStyle name="40% - akcent 4 16" xfId="3818"/>
    <cellStyle name="40% - akcent 4 17" xfId="3819"/>
    <cellStyle name="40% - akcent 4 18" xfId="3820"/>
    <cellStyle name="40% - akcent 4 19" xfId="3821"/>
    <cellStyle name="40% - akcent 4 2" xfId="3822"/>
    <cellStyle name="40% - akcent 4 2 10" xfId="3823"/>
    <cellStyle name="40% - akcent 4 2 10 2" xfId="3824"/>
    <cellStyle name="40% - akcent 4 2 10 3" xfId="3825"/>
    <cellStyle name="40% - akcent 4 2 10 4" xfId="3826"/>
    <cellStyle name="40% - akcent 4 2 10 5" xfId="3827"/>
    <cellStyle name="40% - akcent 4 2 10 6" xfId="3828"/>
    <cellStyle name="40% - akcent 4 2 11" xfId="3829"/>
    <cellStyle name="40% - akcent 4 2 11 2" xfId="3830"/>
    <cellStyle name="40% - akcent 4 2 11 3" xfId="3831"/>
    <cellStyle name="40% - akcent 4 2 11 4" xfId="3832"/>
    <cellStyle name="40% - akcent 4 2 11 5" xfId="3833"/>
    <cellStyle name="40% - akcent 4 2 11 6" xfId="3834"/>
    <cellStyle name="40% - akcent 4 2 12" xfId="3835"/>
    <cellStyle name="40% - akcent 4 2 12 2" xfId="3836"/>
    <cellStyle name="40% - akcent 4 2 12 3" xfId="3837"/>
    <cellStyle name="40% - akcent 4 2 12 4" xfId="3838"/>
    <cellStyle name="40% - akcent 4 2 12 5" xfId="3839"/>
    <cellStyle name="40% - akcent 4 2 12 6" xfId="3840"/>
    <cellStyle name="40% - akcent 4 2 13" xfId="3841"/>
    <cellStyle name="40% - akcent 4 2 13 2" xfId="3842"/>
    <cellStyle name="40% - akcent 4 2 13 3" xfId="3843"/>
    <cellStyle name="40% - akcent 4 2 13 4" xfId="3844"/>
    <cellStyle name="40% - akcent 4 2 13 5" xfId="3845"/>
    <cellStyle name="40% - akcent 4 2 13 6" xfId="3846"/>
    <cellStyle name="40% - akcent 4 2 14" xfId="3847"/>
    <cellStyle name="40% - akcent 4 2 14 2" xfId="3848"/>
    <cellStyle name="40% - akcent 4 2 14 3" xfId="3849"/>
    <cellStyle name="40% - akcent 4 2 14 4" xfId="3850"/>
    <cellStyle name="40% - akcent 4 2 14 5" xfId="3851"/>
    <cellStyle name="40% - akcent 4 2 14 6" xfId="3852"/>
    <cellStyle name="40% - akcent 4 2 15" xfId="3853"/>
    <cellStyle name="40% - akcent 4 2 15 2" xfId="3854"/>
    <cellStyle name="40% - akcent 4 2 15 3" xfId="3855"/>
    <cellStyle name="40% - akcent 4 2 15 4" xfId="3856"/>
    <cellStyle name="40% - akcent 4 2 15 5" xfId="3857"/>
    <cellStyle name="40% - akcent 4 2 15 6" xfId="3858"/>
    <cellStyle name="40% - akcent 4 2 16" xfId="3859"/>
    <cellStyle name="40% - akcent 4 2 16 2" xfId="3860"/>
    <cellStyle name="40% - akcent 4 2 16 3" xfId="3861"/>
    <cellStyle name="40% - akcent 4 2 16 4" xfId="3862"/>
    <cellStyle name="40% - akcent 4 2 16 5" xfId="3863"/>
    <cellStyle name="40% - akcent 4 2 16 6" xfId="3864"/>
    <cellStyle name="40% - akcent 4 2 17" xfId="3865"/>
    <cellStyle name="40% - akcent 4 2 17 2" xfId="3866"/>
    <cellStyle name="40% - akcent 4 2 17 3" xfId="3867"/>
    <cellStyle name="40% - akcent 4 2 17 4" xfId="3868"/>
    <cellStyle name="40% - akcent 4 2 17 5" xfId="3869"/>
    <cellStyle name="40% - akcent 4 2 17 6" xfId="3870"/>
    <cellStyle name="40% - akcent 4 2 18" xfId="3871"/>
    <cellStyle name="40% - akcent 4 2 18 2" xfId="3872"/>
    <cellStyle name="40% - akcent 4 2 18 3" xfId="3873"/>
    <cellStyle name="40% - akcent 4 2 18 4" xfId="3874"/>
    <cellStyle name="40% - akcent 4 2 18 5" xfId="3875"/>
    <cellStyle name="40% - akcent 4 2 18 6" xfId="3876"/>
    <cellStyle name="40% - akcent 4 2 19" xfId="3877"/>
    <cellStyle name="40% - akcent 4 2 19 2" xfId="3878"/>
    <cellStyle name="40% - akcent 4 2 19 3" xfId="3879"/>
    <cellStyle name="40% - akcent 4 2 19 4" xfId="3880"/>
    <cellStyle name="40% - akcent 4 2 19 5" xfId="3881"/>
    <cellStyle name="40% - akcent 4 2 19 6" xfId="3882"/>
    <cellStyle name="40% - akcent 4 2 2" xfId="3883"/>
    <cellStyle name="40% - akcent 4 2 2 2" xfId="3884"/>
    <cellStyle name="40% - akcent 4 2 2 3" xfId="3885"/>
    <cellStyle name="40% - akcent 4 2 2 4" xfId="3886"/>
    <cellStyle name="40% - akcent 4 2 2 5" xfId="3887"/>
    <cellStyle name="40% - akcent 4 2 2 6" xfId="3888"/>
    <cellStyle name="40% - akcent 4 2 2 7" xfId="3889"/>
    <cellStyle name="40% - akcent 4 2 20" xfId="3890"/>
    <cellStyle name="40% - akcent 4 2 20 2" xfId="3891"/>
    <cellStyle name="40% - akcent 4 2 20 3" xfId="3892"/>
    <cellStyle name="40% - akcent 4 2 20 4" xfId="3893"/>
    <cellStyle name="40% - akcent 4 2 20 5" xfId="3894"/>
    <cellStyle name="40% - akcent 4 2 20 6" xfId="3895"/>
    <cellStyle name="40% - akcent 4 2 21" xfId="3896"/>
    <cellStyle name="40% - akcent 4 2 21 2" xfId="3897"/>
    <cellStyle name="40% - akcent 4 2 21 3" xfId="3898"/>
    <cellStyle name="40% - akcent 4 2 21 4" xfId="3899"/>
    <cellStyle name="40% - akcent 4 2 21 5" xfId="3900"/>
    <cellStyle name="40% - akcent 4 2 21 6" xfId="3901"/>
    <cellStyle name="40% - akcent 4 2 22" xfId="3902"/>
    <cellStyle name="40% - akcent 4 2 22 2" xfId="3903"/>
    <cellStyle name="40% - akcent 4 2 22 3" xfId="3904"/>
    <cellStyle name="40% - akcent 4 2 22 4" xfId="3905"/>
    <cellStyle name="40% - akcent 4 2 22 5" xfId="3906"/>
    <cellStyle name="40% - akcent 4 2 22 6" xfId="3907"/>
    <cellStyle name="40% - akcent 4 2 23" xfId="3908"/>
    <cellStyle name="40% - akcent 4 2 23 2" xfId="3909"/>
    <cellStyle name="40% - akcent 4 2 23 3" xfId="3910"/>
    <cellStyle name="40% - akcent 4 2 23 4" xfId="3911"/>
    <cellStyle name="40% - akcent 4 2 23 5" xfId="3912"/>
    <cellStyle name="40% - akcent 4 2 23 6" xfId="3913"/>
    <cellStyle name="40% - akcent 4 2 24" xfId="3914"/>
    <cellStyle name="40% - akcent 4 2 24 2" xfId="3915"/>
    <cellStyle name="40% - akcent 4 2 24 3" xfId="3916"/>
    <cellStyle name="40% - akcent 4 2 24 4" xfId="3917"/>
    <cellStyle name="40% - akcent 4 2 24 5" xfId="3918"/>
    <cellStyle name="40% - akcent 4 2 24 6" xfId="3919"/>
    <cellStyle name="40% - akcent 4 2 25" xfId="3920"/>
    <cellStyle name="40% - akcent 4 2 25 2" xfId="3921"/>
    <cellStyle name="40% - akcent 4 2 25 3" xfId="3922"/>
    <cellStyle name="40% - akcent 4 2 25 4" xfId="3923"/>
    <cellStyle name="40% - akcent 4 2 25 5" xfId="3924"/>
    <cellStyle name="40% - akcent 4 2 25 6" xfId="3925"/>
    <cellStyle name="40% - akcent 4 2 26" xfId="3926"/>
    <cellStyle name="40% - akcent 4 2 26 2" xfId="3927"/>
    <cellStyle name="40% - akcent 4 2 26 3" xfId="3928"/>
    <cellStyle name="40% - akcent 4 2 26 4" xfId="3929"/>
    <cellStyle name="40% - akcent 4 2 26 5" xfId="3930"/>
    <cellStyle name="40% - akcent 4 2 26 6" xfId="3931"/>
    <cellStyle name="40% - akcent 4 2 27" xfId="3932"/>
    <cellStyle name="40% - akcent 4 2 27 2" xfId="3933"/>
    <cellStyle name="40% - akcent 4 2 27 3" xfId="3934"/>
    <cellStyle name="40% - akcent 4 2 27 4" xfId="3935"/>
    <cellStyle name="40% - akcent 4 2 27 5" xfId="3936"/>
    <cellStyle name="40% - akcent 4 2 27 6" xfId="3937"/>
    <cellStyle name="40% - akcent 4 2 28" xfId="3938"/>
    <cellStyle name="40% - akcent 4 2 28 2" xfId="3939"/>
    <cellStyle name="40% - akcent 4 2 28 3" xfId="3940"/>
    <cellStyle name="40% - akcent 4 2 28 4" xfId="3941"/>
    <cellStyle name="40% - akcent 4 2 28 5" xfId="3942"/>
    <cellStyle name="40% - akcent 4 2 28 6" xfId="3943"/>
    <cellStyle name="40% - akcent 4 2 29" xfId="3944"/>
    <cellStyle name="40% - akcent 4 2 29 2" xfId="3945"/>
    <cellStyle name="40% - akcent 4 2 3" xfId="3946"/>
    <cellStyle name="40% - akcent 4 2 3 2" xfId="3947"/>
    <cellStyle name="40% - akcent 4 2 3 3" xfId="3948"/>
    <cellStyle name="40% - akcent 4 2 3 4" xfId="3949"/>
    <cellStyle name="40% - akcent 4 2 3 5" xfId="3950"/>
    <cellStyle name="40% - akcent 4 2 3 6" xfId="3951"/>
    <cellStyle name="40% - akcent 4 2 3 7" xfId="3952"/>
    <cellStyle name="40% - akcent 4 2 30" xfId="3953"/>
    <cellStyle name="40% - akcent 4 2 30 2" xfId="3954"/>
    <cellStyle name="40% - akcent 4 2 31" xfId="3955"/>
    <cellStyle name="40% - akcent 4 2 31 2" xfId="3956"/>
    <cellStyle name="40% - akcent 4 2 32" xfId="3957"/>
    <cellStyle name="40% - akcent 4 2 32 2" xfId="3958"/>
    <cellStyle name="40% - akcent 4 2 33" xfId="3959"/>
    <cellStyle name="40% - akcent 4 2 34" xfId="3960"/>
    <cellStyle name="40% - akcent 4 2 35" xfId="3961"/>
    <cellStyle name="40% - akcent 4 2 36" xfId="3962"/>
    <cellStyle name="40% - akcent 4 2 37" xfId="3963"/>
    <cellStyle name="40% - akcent 4 2 38" xfId="3964"/>
    <cellStyle name="40% - akcent 4 2 39" xfId="3965"/>
    <cellStyle name="40% - akcent 4 2 4" xfId="3966"/>
    <cellStyle name="40% - akcent 4 2 4 2" xfId="3967"/>
    <cellStyle name="40% - akcent 4 2 4 3" xfId="3968"/>
    <cellStyle name="40% - akcent 4 2 4 4" xfId="3969"/>
    <cellStyle name="40% - akcent 4 2 4 5" xfId="3970"/>
    <cellStyle name="40% - akcent 4 2 4 6" xfId="3971"/>
    <cellStyle name="40% - akcent 4 2 4 7" xfId="3972"/>
    <cellStyle name="40% - akcent 4 2 40" xfId="3973"/>
    <cellStyle name="40% - akcent 4 2 41" xfId="3974"/>
    <cellStyle name="40% - akcent 4 2 42" xfId="3975"/>
    <cellStyle name="40% - akcent 4 2 43" xfId="3976"/>
    <cellStyle name="40% - akcent 4 2 44" xfId="3977"/>
    <cellStyle name="40% - akcent 4 2 45" xfId="3978"/>
    <cellStyle name="40% - akcent 4 2 46" xfId="3979"/>
    <cellStyle name="40% - akcent 4 2 47" xfId="3980"/>
    <cellStyle name="40% - akcent 4 2 48" xfId="3981"/>
    <cellStyle name="40% - akcent 4 2 49" xfId="3982"/>
    <cellStyle name="40% - akcent 4 2 5" xfId="3983"/>
    <cellStyle name="40% - akcent 4 2 5 2" xfId="3984"/>
    <cellStyle name="40% - akcent 4 2 5 3" xfId="3985"/>
    <cellStyle name="40% - akcent 4 2 5 4" xfId="3986"/>
    <cellStyle name="40% - akcent 4 2 5 5" xfId="3987"/>
    <cellStyle name="40% - akcent 4 2 5 6" xfId="3988"/>
    <cellStyle name="40% - akcent 4 2 50" xfId="3989"/>
    <cellStyle name="40% - akcent 4 2 51" xfId="3990"/>
    <cellStyle name="40% - akcent 4 2 6" xfId="3991"/>
    <cellStyle name="40% - akcent 4 2 6 2" xfId="3992"/>
    <cellStyle name="40% - akcent 4 2 6 3" xfId="3993"/>
    <cellStyle name="40% - akcent 4 2 6 4" xfId="3994"/>
    <cellStyle name="40% - akcent 4 2 6 5" xfId="3995"/>
    <cellStyle name="40% - akcent 4 2 6 6" xfId="3996"/>
    <cellStyle name="40% - akcent 4 2 7" xfId="3997"/>
    <cellStyle name="40% - akcent 4 2 7 2" xfId="3998"/>
    <cellStyle name="40% - akcent 4 2 7 3" xfId="3999"/>
    <cellStyle name="40% - akcent 4 2 7 4" xfId="4000"/>
    <cellStyle name="40% - akcent 4 2 7 5" xfId="4001"/>
    <cellStyle name="40% - akcent 4 2 7 6" xfId="4002"/>
    <cellStyle name="40% - akcent 4 2 8" xfId="4003"/>
    <cellStyle name="40% - akcent 4 2 8 2" xfId="4004"/>
    <cellStyle name="40% - akcent 4 2 8 3" xfId="4005"/>
    <cellStyle name="40% - akcent 4 2 8 4" xfId="4006"/>
    <cellStyle name="40% - akcent 4 2 8 5" xfId="4007"/>
    <cellStyle name="40% - akcent 4 2 8 6" xfId="4008"/>
    <cellStyle name="40% - akcent 4 2 9" xfId="4009"/>
    <cellStyle name="40% - akcent 4 2 9 2" xfId="4010"/>
    <cellStyle name="40% - akcent 4 2 9 3" xfId="4011"/>
    <cellStyle name="40% - akcent 4 2 9 4" xfId="4012"/>
    <cellStyle name="40% - akcent 4 2 9 5" xfId="4013"/>
    <cellStyle name="40% - akcent 4 2 9 6" xfId="4014"/>
    <cellStyle name="40% - akcent 4 20" xfId="4015"/>
    <cellStyle name="40% - akcent 4 21" xfId="4016"/>
    <cellStyle name="40% - akcent 4 22" xfId="4017"/>
    <cellStyle name="40% - akcent 4 23" xfId="4018"/>
    <cellStyle name="40% - akcent 4 24" xfId="4019"/>
    <cellStyle name="40% - akcent 4 25" xfId="4020"/>
    <cellStyle name="40% - akcent 4 26" xfId="4021"/>
    <cellStyle name="40% - akcent 4 27" xfId="4022"/>
    <cellStyle name="40% - akcent 4 28" xfId="4023"/>
    <cellStyle name="40% - akcent 4 29" xfId="4024"/>
    <cellStyle name="40% - akcent 4 3" xfId="4025"/>
    <cellStyle name="40% - akcent 4 3 2" xfId="4026"/>
    <cellStyle name="40% - akcent 4 3 2 2" xfId="4027"/>
    <cellStyle name="40% - akcent 4 3 3" xfId="4028"/>
    <cellStyle name="40% - akcent 4 3 3 2" xfId="4029"/>
    <cellStyle name="40% - akcent 4 3 4" xfId="4030"/>
    <cellStyle name="40% - akcent 4 3 4 2" xfId="4031"/>
    <cellStyle name="40% - akcent 4 3 5" xfId="4032"/>
    <cellStyle name="40% - akcent 4 3 6" xfId="4033"/>
    <cellStyle name="40% - akcent 4 3 7" xfId="4034"/>
    <cellStyle name="40% - akcent 4 3 8" xfId="4035"/>
    <cellStyle name="40% - akcent 4 30" xfId="4036"/>
    <cellStyle name="40% - akcent 4 30 2" xfId="4037"/>
    <cellStyle name="40% - akcent 4 31" xfId="4038"/>
    <cellStyle name="40% - akcent 4 31 2" xfId="4039"/>
    <cellStyle name="40% - akcent 4 32" xfId="4040"/>
    <cellStyle name="40% - akcent 4 32 2" xfId="4041"/>
    <cellStyle name="40% - akcent 4 33" xfId="4042"/>
    <cellStyle name="40% - akcent 4 33 2" xfId="4043"/>
    <cellStyle name="40% - akcent 4 34" xfId="4044"/>
    <cellStyle name="40% - akcent 4 34 2" xfId="4045"/>
    <cellStyle name="40% - akcent 4 35" xfId="4046"/>
    <cellStyle name="40% - akcent 4 35 2" xfId="4047"/>
    <cellStyle name="40% - akcent 4 36" xfId="4048"/>
    <cellStyle name="40% - akcent 4 36 2" xfId="4049"/>
    <cellStyle name="40% - akcent 4 37" xfId="4050"/>
    <cellStyle name="40% - akcent 4 37 2" xfId="4051"/>
    <cellStyle name="40% - akcent 4 38" xfId="4052"/>
    <cellStyle name="40% - akcent 4 38 2" xfId="4053"/>
    <cellStyle name="40% - akcent 4 39" xfId="4054"/>
    <cellStyle name="40% - akcent 4 39 2" xfId="4055"/>
    <cellStyle name="40% - akcent 4 4" xfId="4056"/>
    <cellStyle name="40% - akcent 4 4 2" xfId="4057"/>
    <cellStyle name="40% - akcent 4 4 2 2" xfId="4058"/>
    <cellStyle name="40% - akcent 4 4 3" xfId="4059"/>
    <cellStyle name="40% - akcent 4 4 3 2" xfId="4060"/>
    <cellStyle name="40% - akcent 4 4 4" xfId="4061"/>
    <cellStyle name="40% - akcent 4 4 4 2" xfId="4062"/>
    <cellStyle name="40% - akcent 4 4 5" xfId="4063"/>
    <cellStyle name="40% - akcent 4 4 6" xfId="4064"/>
    <cellStyle name="40% - akcent 4 4 7" xfId="4065"/>
    <cellStyle name="40% - akcent 4 4 8" xfId="4066"/>
    <cellStyle name="40% - akcent 4 40" xfId="4067"/>
    <cellStyle name="40% - akcent 4 40 2" xfId="4068"/>
    <cellStyle name="40% - akcent 4 41" xfId="4069"/>
    <cellStyle name="40% - akcent 4 41 2" xfId="4070"/>
    <cellStyle name="40% - akcent 4 42" xfId="4071"/>
    <cellStyle name="40% - akcent 4 42 2" xfId="4072"/>
    <cellStyle name="40% - akcent 4 43" xfId="4073"/>
    <cellStyle name="40% - akcent 4 43 2" xfId="4074"/>
    <cellStyle name="40% - akcent 4 44" xfId="4075"/>
    <cellStyle name="40% - akcent 4 44 2" xfId="4076"/>
    <cellStyle name="40% - akcent 4 45" xfId="4077"/>
    <cellStyle name="40% - akcent 4 45 2" xfId="4078"/>
    <cellStyle name="40% - akcent 4 46" xfId="4079"/>
    <cellStyle name="40% - akcent 4 46 2" xfId="4080"/>
    <cellStyle name="40% - akcent 4 47" xfId="4081"/>
    <cellStyle name="40% - akcent 4 47 2" xfId="4082"/>
    <cellStyle name="40% - akcent 4 48" xfId="4083"/>
    <cellStyle name="40% - akcent 4 48 2" xfId="4084"/>
    <cellStyle name="40% - akcent 4 49" xfId="4085"/>
    <cellStyle name="40% - akcent 4 49 2" xfId="4086"/>
    <cellStyle name="40% - akcent 4 5" xfId="4087"/>
    <cellStyle name="40% - akcent 4 5 2" xfId="4088"/>
    <cellStyle name="40% - akcent 4 5 3" xfId="4089"/>
    <cellStyle name="40% - akcent 4 50" xfId="4090"/>
    <cellStyle name="40% - akcent 4 50 2" xfId="4091"/>
    <cellStyle name="40% - akcent 4 51" xfId="4092"/>
    <cellStyle name="40% - akcent 4 51 2" xfId="4093"/>
    <cellStyle name="40% - akcent 4 52" xfId="4094"/>
    <cellStyle name="40% - akcent 4 52 2" xfId="4095"/>
    <cellStyle name="40% - akcent 4 53" xfId="4096"/>
    <cellStyle name="40% - akcent 4 53 2" xfId="4097"/>
    <cellStyle name="40% - akcent 4 54" xfId="4098"/>
    <cellStyle name="40% - akcent 4 54 2" xfId="4099"/>
    <cellStyle name="40% - akcent 4 55" xfId="4100"/>
    <cellStyle name="40% - akcent 4 55 2" xfId="4101"/>
    <cellStyle name="40% - akcent 4 56" xfId="4102"/>
    <cellStyle name="40% - akcent 4 56 2" xfId="4103"/>
    <cellStyle name="40% - akcent 4 57" xfId="4104"/>
    <cellStyle name="40% - akcent 4 57 2" xfId="4105"/>
    <cellStyle name="40% - akcent 4 58" xfId="4106"/>
    <cellStyle name="40% - akcent 4 58 2" xfId="4107"/>
    <cellStyle name="40% - akcent 4 59" xfId="4108"/>
    <cellStyle name="40% - akcent 4 59 2" xfId="4109"/>
    <cellStyle name="40% - akcent 4 6" xfId="4110"/>
    <cellStyle name="40% - akcent 4 60" xfId="4111"/>
    <cellStyle name="40% - akcent 4 60 2" xfId="4112"/>
    <cellStyle name="40% - akcent 4 61" xfId="4113"/>
    <cellStyle name="40% - akcent 4 61 2" xfId="4114"/>
    <cellStyle name="40% - akcent 4 62" xfId="4115"/>
    <cellStyle name="40% - akcent 4 62 2" xfId="4116"/>
    <cellStyle name="40% - akcent 4 63" xfId="4117"/>
    <cellStyle name="40% - akcent 4 63 2" xfId="4118"/>
    <cellStyle name="40% - akcent 4 64" xfId="4119"/>
    <cellStyle name="40% - akcent 4 64 2" xfId="4120"/>
    <cellStyle name="40% - akcent 4 65" xfId="4121"/>
    <cellStyle name="40% - akcent 4 65 2" xfId="4122"/>
    <cellStyle name="40% - akcent 4 66" xfId="4123"/>
    <cellStyle name="40% - akcent 4 66 2" xfId="4124"/>
    <cellStyle name="40% - akcent 4 67" xfId="4125"/>
    <cellStyle name="40% - akcent 4 67 2" xfId="4126"/>
    <cellStyle name="40% - akcent 4 68" xfId="4127"/>
    <cellStyle name="40% - akcent 4 68 2" xfId="4128"/>
    <cellStyle name="40% - akcent 4 69" xfId="4129"/>
    <cellStyle name="40% - akcent 4 69 2" xfId="4130"/>
    <cellStyle name="40% - akcent 4 7" xfId="4131"/>
    <cellStyle name="40% - akcent 4 70" xfId="4132"/>
    <cellStyle name="40% - akcent 4 70 2" xfId="4133"/>
    <cellStyle name="40% - akcent 4 71" xfId="4134"/>
    <cellStyle name="40% - akcent 4 71 2" xfId="4135"/>
    <cellStyle name="40% - akcent 4 72" xfId="4136"/>
    <cellStyle name="40% - akcent 4 72 2" xfId="4137"/>
    <cellStyle name="40% - akcent 4 73" xfId="4138"/>
    <cellStyle name="40% - akcent 4 73 2" xfId="4139"/>
    <cellStyle name="40% - akcent 4 74" xfId="4140"/>
    <cellStyle name="40% - akcent 4 74 2" xfId="4141"/>
    <cellStyle name="40% - akcent 4 75" xfId="4142"/>
    <cellStyle name="40% - akcent 4 75 2" xfId="4143"/>
    <cellStyle name="40% - akcent 4 76" xfId="4144"/>
    <cellStyle name="40% - akcent 4 76 2" xfId="4145"/>
    <cellStyle name="40% - akcent 4 77" xfId="4146"/>
    <cellStyle name="40% - akcent 4 77 2" xfId="4147"/>
    <cellStyle name="40% - akcent 4 78" xfId="4148"/>
    <cellStyle name="40% - akcent 4 78 2" xfId="4149"/>
    <cellStyle name="40% - akcent 4 79" xfId="4150"/>
    <cellStyle name="40% - akcent 4 79 2" xfId="4151"/>
    <cellStyle name="40% - akcent 4 8" xfId="4152"/>
    <cellStyle name="40% - akcent 4 80" xfId="4153"/>
    <cellStyle name="40% - akcent 4 80 2" xfId="4154"/>
    <cellStyle name="40% - akcent 4 81" xfId="4155"/>
    <cellStyle name="40% - akcent 4 81 2" xfId="4156"/>
    <cellStyle name="40% - akcent 4 82" xfId="4157"/>
    <cellStyle name="40% - akcent 4 82 2" xfId="4158"/>
    <cellStyle name="40% - akcent 4 83" xfId="4159"/>
    <cellStyle name="40% - akcent 4 83 2" xfId="4160"/>
    <cellStyle name="40% - akcent 4 84" xfId="4161"/>
    <cellStyle name="40% - akcent 4 84 2" xfId="4162"/>
    <cellStyle name="40% - akcent 4 85" xfId="4163"/>
    <cellStyle name="40% - akcent 4 85 2" xfId="4164"/>
    <cellStyle name="40% - akcent 4 86" xfId="4165"/>
    <cellStyle name="40% - akcent 4 86 2" xfId="4166"/>
    <cellStyle name="40% - akcent 4 87" xfId="4167"/>
    <cellStyle name="40% - akcent 4 87 2" xfId="4168"/>
    <cellStyle name="40% - akcent 4 88" xfId="4169"/>
    <cellStyle name="40% - akcent 4 88 2" xfId="4170"/>
    <cellStyle name="40% - akcent 4 89" xfId="4171"/>
    <cellStyle name="40% - akcent 4 89 2" xfId="4172"/>
    <cellStyle name="40% - akcent 4 9" xfId="4173"/>
    <cellStyle name="40% - akcent 4 90" xfId="4174"/>
    <cellStyle name="40% - akcent 4 90 2" xfId="4175"/>
    <cellStyle name="40% - akcent 4 91" xfId="4176"/>
    <cellStyle name="40% - akcent 4 91 2" xfId="4177"/>
    <cellStyle name="40% - akcent 4 92" xfId="4178"/>
    <cellStyle name="40% - akcent 4 92 2" xfId="4179"/>
    <cellStyle name="40% - akcent 4 93" xfId="4180"/>
    <cellStyle name="40% - akcent 4 93 2" xfId="4181"/>
    <cellStyle name="40% - akcent 4 94" xfId="4182"/>
    <cellStyle name="40% - akcent 4 94 2" xfId="4183"/>
    <cellStyle name="40% - akcent 4 95" xfId="4184"/>
    <cellStyle name="40% - akcent 4 95 2" xfId="4185"/>
    <cellStyle name="40% - akcent 4 96" xfId="4186"/>
    <cellStyle name="40% - akcent 4 96 2" xfId="4187"/>
    <cellStyle name="40% - akcent 4 97" xfId="4188"/>
    <cellStyle name="40% - akcent 4 97 2" xfId="4189"/>
    <cellStyle name="40% - akcent 4 98" xfId="4190"/>
    <cellStyle name="40% - akcent 4 98 2" xfId="4191"/>
    <cellStyle name="40% - akcent 4 99" xfId="4192"/>
    <cellStyle name="40% - akcent 4 99 2" xfId="4193"/>
    <cellStyle name="40% - akcent 5 10" xfId="4194"/>
    <cellStyle name="40% - akcent 5 100" xfId="4195"/>
    <cellStyle name="40% - akcent 5 100 2" xfId="4196"/>
    <cellStyle name="40% - akcent 5 101" xfId="4197"/>
    <cellStyle name="40% - akcent 5 101 2" xfId="4198"/>
    <cellStyle name="40% - akcent 5 102" xfId="4199"/>
    <cellStyle name="40% - akcent 5 102 2" xfId="4200"/>
    <cellStyle name="40% - akcent 5 103" xfId="4201"/>
    <cellStyle name="40% - akcent 5 103 2" xfId="4202"/>
    <cellStyle name="40% - akcent 5 104" xfId="4203"/>
    <cellStyle name="40% - akcent 5 104 2" xfId="4204"/>
    <cellStyle name="40% - akcent 5 105" xfId="4205"/>
    <cellStyle name="40% - akcent 5 105 2" xfId="4206"/>
    <cellStyle name="40% - akcent 5 106" xfId="4207"/>
    <cellStyle name="40% - akcent 5 106 2" xfId="4208"/>
    <cellStyle name="40% - akcent 5 107" xfId="4209"/>
    <cellStyle name="40% - akcent 5 107 2" xfId="4210"/>
    <cellStyle name="40% - akcent 5 108" xfId="4211"/>
    <cellStyle name="40% - akcent 5 108 2" xfId="4212"/>
    <cellStyle name="40% - akcent 5 109" xfId="4213"/>
    <cellStyle name="40% - akcent 5 109 2" xfId="4214"/>
    <cellStyle name="40% - akcent 5 11" xfId="4215"/>
    <cellStyle name="40% - akcent 5 110" xfId="4216"/>
    <cellStyle name="40% - akcent 5 110 2" xfId="4217"/>
    <cellStyle name="40% - akcent 5 111" xfId="4218"/>
    <cellStyle name="40% - akcent 5 111 2" xfId="4219"/>
    <cellStyle name="40% - akcent 5 112" xfId="4220"/>
    <cellStyle name="40% - akcent 5 112 2" xfId="4221"/>
    <cellStyle name="40% - akcent 5 113" xfId="4222"/>
    <cellStyle name="40% - akcent 5 113 2" xfId="4223"/>
    <cellStyle name="40% - akcent 5 114" xfId="4224"/>
    <cellStyle name="40% - akcent 5 114 2" xfId="4225"/>
    <cellStyle name="40% - akcent 5 115" xfId="4226"/>
    <cellStyle name="40% - akcent 5 115 2" xfId="4227"/>
    <cellStyle name="40% - akcent 5 116" xfId="4228"/>
    <cellStyle name="40% - akcent 5 116 2" xfId="4229"/>
    <cellStyle name="40% - akcent 5 117" xfId="4230"/>
    <cellStyle name="40% - akcent 5 117 2" xfId="4231"/>
    <cellStyle name="40% - akcent 5 118" xfId="4232"/>
    <cellStyle name="40% - akcent 5 118 2" xfId="4233"/>
    <cellStyle name="40% - akcent 5 119" xfId="4234"/>
    <cellStyle name="40% - akcent 5 119 2" xfId="4235"/>
    <cellStyle name="40% - akcent 5 12" xfId="4236"/>
    <cellStyle name="40% - akcent 5 120" xfId="4237"/>
    <cellStyle name="40% - akcent 5 121" xfId="4238"/>
    <cellStyle name="40% - akcent 5 13" xfId="4239"/>
    <cellStyle name="40% - akcent 5 14" xfId="4240"/>
    <cellStyle name="40% - akcent 5 15" xfId="4241"/>
    <cellStyle name="40% - akcent 5 16" xfId="4242"/>
    <cellStyle name="40% - akcent 5 17" xfId="4243"/>
    <cellStyle name="40% - akcent 5 18" xfId="4244"/>
    <cellStyle name="40% - akcent 5 19" xfId="4245"/>
    <cellStyle name="40% - akcent 5 2" xfId="4246"/>
    <cellStyle name="40% - akcent 5 2 10" xfId="4247"/>
    <cellStyle name="40% - akcent 5 2 10 2" xfId="4248"/>
    <cellStyle name="40% - akcent 5 2 10 3" xfId="4249"/>
    <cellStyle name="40% - akcent 5 2 10 4" xfId="4250"/>
    <cellStyle name="40% - akcent 5 2 10 5" xfId="4251"/>
    <cellStyle name="40% - akcent 5 2 10 6" xfId="4252"/>
    <cellStyle name="40% - akcent 5 2 11" xfId="4253"/>
    <cellStyle name="40% - akcent 5 2 11 2" xfId="4254"/>
    <cellStyle name="40% - akcent 5 2 11 3" xfId="4255"/>
    <cellStyle name="40% - akcent 5 2 11 4" xfId="4256"/>
    <cellStyle name="40% - akcent 5 2 11 5" xfId="4257"/>
    <cellStyle name="40% - akcent 5 2 11 6" xfId="4258"/>
    <cellStyle name="40% - akcent 5 2 12" xfId="4259"/>
    <cellStyle name="40% - akcent 5 2 12 2" xfId="4260"/>
    <cellStyle name="40% - akcent 5 2 12 3" xfId="4261"/>
    <cellStyle name="40% - akcent 5 2 12 4" xfId="4262"/>
    <cellStyle name="40% - akcent 5 2 12 5" xfId="4263"/>
    <cellStyle name="40% - akcent 5 2 12 6" xfId="4264"/>
    <cellStyle name="40% - akcent 5 2 13" xfId="4265"/>
    <cellStyle name="40% - akcent 5 2 13 2" xfId="4266"/>
    <cellStyle name="40% - akcent 5 2 13 3" xfId="4267"/>
    <cellStyle name="40% - akcent 5 2 13 4" xfId="4268"/>
    <cellStyle name="40% - akcent 5 2 13 5" xfId="4269"/>
    <cellStyle name="40% - akcent 5 2 13 6" xfId="4270"/>
    <cellStyle name="40% - akcent 5 2 14" xfId="4271"/>
    <cellStyle name="40% - akcent 5 2 14 2" xfId="4272"/>
    <cellStyle name="40% - akcent 5 2 14 3" xfId="4273"/>
    <cellStyle name="40% - akcent 5 2 14 4" xfId="4274"/>
    <cellStyle name="40% - akcent 5 2 14 5" xfId="4275"/>
    <cellStyle name="40% - akcent 5 2 14 6" xfId="4276"/>
    <cellStyle name="40% - akcent 5 2 15" xfId="4277"/>
    <cellStyle name="40% - akcent 5 2 15 2" xfId="4278"/>
    <cellStyle name="40% - akcent 5 2 15 3" xfId="4279"/>
    <cellStyle name="40% - akcent 5 2 15 4" xfId="4280"/>
    <cellStyle name="40% - akcent 5 2 15 5" xfId="4281"/>
    <cellStyle name="40% - akcent 5 2 15 6" xfId="4282"/>
    <cellStyle name="40% - akcent 5 2 16" xfId="4283"/>
    <cellStyle name="40% - akcent 5 2 16 2" xfId="4284"/>
    <cellStyle name="40% - akcent 5 2 16 3" xfId="4285"/>
    <cellStyle name="40% - akcent 5 2 16 4" xfId="4286"/>
    <cellStyle name="40% - akcent 5 2 16 5" xfId="4287"/>
    <cellStyle name="40% - akcent 5 2 16 6" xfId="4288"/>
    <cellStyle name="40% - akcent 5 2 17" xfId="4289"/>
    <cellStyle name="40% - akcent 5 2 17 2" xfId="4290"/>
    <cellStyle name="40% - akcent 5 2 17 3" xfId="4291"/>
    <cellStyle name="40% - akcent 5 2 17 4" xfId="4292"/>
    <cellStyle name="40% - akcent 5 2 17 5" xfId="4293"/>
    <cellStyle name="40% - akcent 5 2 17 6" xfId="4294"/>
    <cellStyle name="40% - akcent 5 2 18" xfId="4295"/>
    <cellStyle name="40% - akcent 5 2 18 2" xfId="4296"/>
    <cellStyle name="40% - akcent 5 2 18 3" xfId="4297"/>
    <cellStyle name="40% - akcent 5 2 18 4" xfId="4298"/>
    <cellStyle name="40% - akcent 5 2 18 5" xfId="4299"/>
    <cellStyle name="40% - akcent 5 2 18 6" xfId="4300"/>
    <cellStyle name="40% - akcent 5 2 19" xfId="4301"/>
    <cellStyle name="40% - akcent 5 2 19 2" xfId="4302"/>
    <cellStyle name="40% - akcent 5 2 19 3" xfId="4303"/>
    <cellStyle name="40% - akcent 5 2 19 4" xfId="4304"/>
    <cellStyle name="40% - akcent 5 2 19 5" xfId="4305"/>
    <cellStyle name="40% - akcent 5 2 19 6" xfId="4306"/>
    <cellStyle name="40% - akcent 5 2 2" xfId="4307"/>
    <cellStyle name="40% - akcent 5 2 2 2" xfId="4308"/>
    <cellStyle name="40% - akcent 5 2 2 3" xfId="4309"/>
    <cellStyle name="40% - akcent 5 2 2 4" xfId="4310"/>
    <cellStyle name="40% - akcent 5 2 2 5" xfId="4311"/>
    <cellStyle name="40% - akcent 5 2 2 6" xfId="4312"/>
    <cellStyle name="40% - akcent 5 2 2 7" xfId="4313"/>
    <cellStyle name="40% - akcent 5 2 20" xfId="4314"/>
    <cellStyle name="40% - akcent 5 2 20 2" xfId="4315"/>
    <cellStyle name="40% - akcent 5 2 20 3" xfId="4316"/>
    <cellStyle name="40% - akcent 5 2 20 4" xfId="4317"/>
    <cellStyle name="40% - akcent 5 2 20 5" xfId="4318"/>
    <cellStyle name="40% - akcent 5 2 20 6" xfId="4319"/>
    <cellStyle name="40% - akcent 5 2 21" xfId="4320"/>
    <cellStyle name="40% - akcent 5 2 21 2" xfId="4321"/>
    <cellStyle name="40% - akcent 5 2 21 3" xfId="4322"/>
    <cellStyle name="40% - akcent 5 2 21 4" xfId="4323"/>
    <cellStyle name="40% - akcent 5 2 21 5" xfId="4324"/>
    <cellStyle name="40% - akcent 5 2 21 6" xfId="4325"/>
    <cellStyle name="40% - akcent 5 2 22" xfId="4326"/>
    <cellStyle name="40% - akcent 5 2 22 2" xfId="4327"/>
    <cellStyle name="40% - akcent 5 2 22 3" xfId="4328"/>
    <cellStyle name="40% - akcent 5 2 22 4" xfId="4329"/>
    <cellStyle name="40% - akcent 5 2 22 5" xfId="4330"/>
    <cellStyle name="40% - akcent 5 2 22 6" xfId="4331"/>
    <cellStyle name="40% - akcent 5 2 23" xfId="4332"/>
    <cellStyle name="40% - akcent 5 2 23 2" xfId="4333"/>
    <cellStyle name="40% - akcent 5 2 23 3" xfId="4334"/>
    <cellStyle name="40% - akcent 5 2 23 4" xfId="4335"/>
    <cellStyle name="40% - akcent 5 2 23 5" xfId="4336"/>
    <cellStyle name="40% - akcent 5 2 23 6" xfId="4337"/>
    <cellStyle name="40% - akcent 5 2 24" xfId="4338"/>
    <cellStyle name="40% - akcent 5 2 24 2" xfId="4339"/>
    <cellStyle name="40% - akcent 5 2 24 3" xfId="4340"/>
    <cellStyle name="40% - akcent 5 2 24 4" xfId="4341"/>
    <cellStyle name="40% - akcent 5 2 24 5" xfId="4342"/>
    <cellStyle name="40% - akcent 5 2 24 6" xfId="4343"/>
    <cellStyle name="40% - akcent 5 2 25" xfId="4344"/>
    <cellStyle name="40% - akcent 5 2 25 2" xfId="4345"/>
    <cellStyle name="40% - akcent 5 2 25 3" xfId="4346"/>
    <cellStyle name="40% - akcent 5 2 25 4" xfId="4347"/>
    <cellStyle name="40% - akcent 5 2 25 5" xfId="4348"/>
    <cellStyle name="40% - akcent 5 2 25 6" xfId="4349"/>
    <cellStyle name="40% - akcent 5 2 26" xfId="4350"/>
    <cellStyle name="40% - akcent 5 2 26 2" xfId="4351"/>
    <cellStyle name="40% - akcent 5 2 26 3" xfId="4352"/>
    <cellStyle name="40% - akcent 5 2 26 4" xfId="4353"/>
    <cellStyle name="40% - akcent 5 2 26 5" xfId="4354"/>
    <cellStyle name="40% - akcent 5 2 26 6" xfId="4355"/>
    <cellStyle name="40% - akcent 5 2 27" xfId="4356"/>
    <cellStyle name="40% - akcent 5 2 27 2" xfId="4357"/>
    <cellStyle name="40% - akcent 5 2 27 3" xfId="4358"/>
    <cellStyle name="40% - akcent 5 2 27 4" xfId="4359"/>
    <cellStyle name="40% - akcent 5 2 27 5" xfId="4360"/>
    <cellStyle name="40% - akcent 5 2 27 6" xfId="4361"/>
    <cellStyle name="40% - akcent 5 2 28" xfId="4362"/>
    <cellStyle name="40% - akcent 5 2 28 2" xfId="4363"/>
    <cellStyle name="40% - akcent 5 2 28 3" xfId="4364"/>
    <cellStyle name="40% - akcent 5 2 28 4" xfId="4365"/>
    <cellStyle name="40% - akcent 5 2 28 5" xfId="4366"/>
    <cellStyle name="40% - akcent 5 2 28 6" xfId="4367"/>
    <cellStyle name="40% - akcent 5 2 29" xfId="4368"/>
    <cellStyle name="40% - akcent 5 2 29 2" xfId="4369"/>
    <cellStyle name="40% - akcent 5 2 3" xfId="4370"/>
    <cellStyle name="40% - akcent 5 2 3 2" xfId="4371"/>
    <cellStyle name="40% - akcent 5 2 3 3" xfId="4372"/>
    <cellStyle name="40% - akcent 5 2 3 4" xfId="4373"/>
    <cellStyle name="40% - akcent 5 2 3 5" xfId="4374"/>
    <cellStyle name="40% - akcent 5 2 3 6" xfId="4375"/>
    <cellStyle name="40% - akcent 5 2 3 7" xfId="4376"/>
    <cellStyle name="40% - akcent 5 2 30" xfId="4377"/>
    <cellStyle name="40% - akcent 5 2 30 2" xfId="4378"/>
    <cellStyle name="40% - akcent 5 2 31" xfId="4379"/>
    <cellStyle name="40% - akcent 5 2 31 2" xfId="4380"/>
    <cellStyle name="40% - akcent 5 2 32" xfId="4381"/>
    <cellStyle name="40% - akcent 5 2 32 2" xfId="4382"/>
    <cellStyle name="40% - akcent 5 2 33" xfId="4383"/>
    <cellStyle name="40% - akcent 5 2 34" xfId="4384"/>
    <cellStyle name="40% - akcent 5 2 35" xfId="4385"/>
    <cellStyle name="40% - akcent 5 2 36" xfId="4386"/>
    <cellStyle name="40% - akcent 5 2 37" xfId="4387"/>
    <cellStyle name="40% - akcent 5 2 38" xfId="4388"/>
    <cellStyle name="40% - akcent 5 2 39" xfId="4389"/>
    <cellStyle name="40% - akcent 5 2 4" xfId="4390"/>
    <cellStyle name="40% - akcent 5 2 4 2" xfId="4391"/>
    <cellStyle name="40% - akcent 5 2 4 3" xfId="4392"/>
    <cellStyle name="40% - akcent 5 2 4 4" xfId="4393"/>
    <cellStyle name="40% - akcent 5 2 4 5" xfId="4394"/>
    <cellStyle name="40% - akcent 5 2 4 6" xfId="4395"/>
    <cellStyle name="40% - akcent 5 2 4 7" xfId="4396"/>
    <cellStyle name="40% - akcent 5 2 40" xfId="4397"/>
    <cellStyle name="40% - akcent 5 2 41" xfId="4398"/>
    <cellStyle name="40% - akcent 5 2 42" xfId="4399"/>
    <cellStyle name="40% - akcent 5 2 43" xfId="4400"/>
    <cellStyle name="40% - akcent 5 2 44" xfId="4401"/>
    <cellStyle name="40% - akcent 5 2 45" xfId="4402"/>
    <cellStyle name="40% - akcent 5 2 46" xfId="4403"/>
    <cellStyle name="40% - akcent 5 2 47" xfId="4404"/>
    <cellStyle name="40% - akcent 5 2 48" xfId="4405"/>
    <cellStyle name="40% - akcent 5 2 49" xfId="4406"/>
    <cellStyle name="40% - akcent 5 2 5" xfId="4407"/>
    <cellStyle name="40% - akcent 5 2 5 2" xfId="4408"/>
    <cellStyle name="40% - akcent 5 2 5 3" xfId="4409"/>
    <cellStyle name="40% - akcent 5 2 5 4" xfId="4410"/>
    <cellStyle name="40% - akcent 5 2 5 5" xfId="4411"/>
    <cellStyle name="40% - akcent 5 2 5 6" xfId="4412"/>
    <cellStyle name="40% - akcent 5 2 50" xfId="4413"/>
    <cellStyle name="40% - akcent 5 2 51" xfId="4414"/>
    <cellStyle name="40% - akcent 5 2 6" xfId="4415"/>
    <cellStyle name="40% - akcent 5 2 6 2" xfId="4416"/>
    <cellStyle name="40% - akcent 5 2 6 3" xfId="4417"/>
    <cellStyle name="40% - akcent 5 2 6 4" xfId="4418"/>
    <cellStyle name="40% - akcent 5 2 6 5" xfId="4419"/>
    <cellStyle name="40% - akcent 5 2 6 6" xfId="4420"/>
    <cellStyle name="40% - akcent 5 2 7" xfId="4421"/>
    <cellStyle name="40% - akcent 5 2 7 2" xfId="4422"/>
    <cellStyle name="40% - akcent 5 2 7 3" xfId="4423"/>
    <cellStyle name="40% - akcent 5 2 7 4" xfId="4424"/>
    <cellStyle name="40% - akcent 5 2 7 5" xfId="4425"/>
    <cellStyle name="40% - akcent 5 2 7 6" xfId="4426"/>
    <cellStyle name="40% - akcent 5 2 8" xfId="4427"/>
    <cellStyle name="40% - akcent 5 2 8 2" xfId="4428"/>
    <cellStyle name="40% - akcent 5 2 8 3" xfId="4429"/>
    <cellStyle name="40% - akcent 5 2 8 4" xfId="4430"/>
    <cellStyle name="40% - akcent 5 2 8 5" xfId="4431"/>
    <cellStyle name="40% - akcent 5 2 8 6" xfId="4432"/>
    <cellStyle name="40% - akcent 5 2 9" xfId="4433"/>
    <cellStyle name="40% - akcent 5 2 9 2" xfId="4434"/>
    <cellStyle name="40% - akcent 5 2 9 3" xfId="4435"/>
    <cellStyle name="40% - akcent 5 2 9 4" xfId="4436"/>
    <cellStyle name="40% - akcent 5 2 9 5" xfId="4437"/>
    <cellStyle name="40% - akcent 5 2 9 6" xfId="4438"/>
    <cellStyle name="40% - akcent 5 20" xfId="4439"/>
    <cellStyle name="40% - akcent 5 21" xfId="4440"/>
    <cellStyle name="40% - akcent 5 22" xfId="4441"/>
    <cellStyle name="40% - akcent 5 23" xfId="4442"/>
    <cellStyle name="40% - akcent 5 24" xfId="4443"/>
    <cellStyle name="40% - akcent 5 25" xfId="4444"/>
    <cellStyle name="40% - akcent 5 26" xfId="4445"/>
    <cellStyle name="40% - akcent 5 27" xfId="4446"/>
    <cellStyle name="40% - akcent 5 28" xfId="4447"/>
    <cellStyle name="40% - akcent 5 29" xfId="4448"/>
    <cellStyle name="40% - akcent 5 3" xfId="4449"/>
    <cellStyle name="40% - akcent 5 3 2" xfId="4450"/>
    <cellStyle name="40% - akcent 5 3 2 2" xfId="4451"/>
    <cellStyle name="40% - akcent 5 3 3" xfId="4452"/>
    <cellStyle name="40% - akcent 5 3 3 2" xfId="4453"/>
    <cellStyle name="40% - akcent 5 3 4" xfId="4454"/>
    <cellStyle name="40% - akcent 5 3 4 2" xfId="4455"/>
    <cellStyle name="40% - akcent 5 3 5" xfId="4456"/>
    <cellStyle name="40% - akcent 5 3 6" xfId="4457"/>
    <cellStyle name="40% - akcent 5 3 7" xfId="4458"/>
    <cellStyle name="40% - akcent 5 3 8" xfId="4459"/>
    <cellStyle name="40% - akcent 5 30" xfId="4460"/>
    <cellStyle name="40% - akcent 5 30 2" xfId="4461"/>
    <cellStyle name="40% - akcent 5 31" xfId="4462"/>
    <cellStyle name="40% - akcent 5 31 2" xfId="4463"/>
    <cellStyle name="40% - akcent 5 32" xfId="4464"/>
    <cellStyle name="40% - akcent 5 32 2" xfId="4465"/>
    <cellStyle name="40% - akcent 5 33" xfId="4466"/>
    <cellStyle name="40% - akcent 5 33 2" xfId="4467"/>
    <cellStyle name="40% - akcent 5 34" xfId="4468"/>
    <cellStyle name="40% - akcent 5 34 2" xfId="4469"/>
    <cellStyle name="40% - akcent 5 35" xfId="4470"/>
    <cellStyle name="40% - akcent 5 35 2" xfId="4471"/>
    <cellStyle name="40% - akcent 5 36" xfId="4472"/>
    <cellStyle name="40% - akcent 5 36 2" xfId="4473"/>
    <cellStyle name="40% - akcent 5 37" xfId="4474"/>
    <cellStyle name="40% - akcent 5 37 2" xfId="4475"/>
    <cellStyle name="40% - akcent 5 38" xfId="4476"/>
    <cellStyle name="40% - akcent 5 38 2" xfId="4477"/>
    <cellStyle name="40% - akcent 5 39" xfId="4478"/>
    <cellStyle name="40% - akcent 5 39 2" xfId="4479"/>
    <cellStyle name="40% - akcent 5 4" xfId="4480"/>
    <cellStyle name="40% - akcent 5 4 2" xfId="4481"/>
    <cellStyle name="40% - akcent 5 4 2 2" xfId="4482"/>
    <cellStyle name="40% - akcent 5 4 3" xfId="4483"/>
    <cellStyle name="40% - akcent 5 4 3 2" xfId="4484"/>
    <cellStyle name="40% - akcent 5 4 4" xfId="4485"/>
    <cellStyle name="40% - akcent 5 4 4 2" xfId="4486"/>
    <cellStyle name="40% - akcent 5 4 5" xfId="4487"/>
    <cellStyle name="40% - akcent 5 4 6" xfId="4488"/>
    <cellStyle name="40% - akcent 5 4 7" xfId="4489"/>
    <cellStyle name="40% - akcent 5 4 8" xfId="4490"/>
    <cellStyle name="40% - akcent 5 40" xfId="4491"/>
    <cellStyle name="40% - akcent 5 40 2" xfId="4492"/>
    <cellStyle name="40% - akcent 5 41" xfId="4493"/>
    <cellStyle name="40% - akcent 5 41 2" xfId="4494"/>
    <cellStyle name="40% - akcent 5 42" xfId="4495"/>
    <cellStyle name="40% - akcent 5 42 2" xfId="4496"/>
    <cellStyle name="40% - akcent 5 43" xfId="4497"/>
    <cellStyle name="40% - akcent 5 43 2" xfId="4498"/>
    <cellStyle name="40% - akcent 5 44" xfId="4499"/>
    <cellStyle name="40% - akcent 5 44 2" xfId="4500"/>
    <cellStyle name="40% - akcent 5 45" xfId="4501"/>
    <cellStyle name="40% - akcent 5 45 2" xfId="4502"/>
    <cellStyle name="40% - akcent 5 46" xfId="4503"/>
    <cellStyle name="40% - akcent 5 46 2" xfId="4504"/>
    <cellStyle name="40% - akcent 5 47" xfId="4505"/>
    <cellStyle name="40% - akcent 5 47 2" xfId="4506"/>
    <cellStyle name="40% - akcent 5 48" xfId="4507"/>
    <cellStyle name="40% - akcent 5 48 2" xfId="4508"/>
    <cellStyle name="40% - akcent 5 49" xfId="4509"/>
    <cellStyle name="40% - akcent 5 49 2" xfId="4510"/>
    <cellStyle name="40% - akcent 5 5" xfId="4511"/>
    <cellStyle name="40% - akcent 5 5 2" xfId="4512"/>
    <cellStyle name="40% - akcent 5 5 3" xfId="4513"/>
    <cellStyle name="40% - akcent 5 50" xfId="4514"/>
    <cellStyle name="40% - akcent 5 50 2" xfId="4515"/>
    <cellStyle name="40% - akcent 5 51" xfId="4516"/>
    <cellStyle name="40% - akcent 5 51 2" xfId="4517"/>
    <cellStyle name="40% - akcent 5 52" xfId="4518"/>
    <cellStyle name="40% - akcent 5 52 2" xfId="4519"/>
    <cellStyle name="40% - akcent 5 53" xfId="4520"/>
    <cellStyle name="40% - akcent 5 53 2" xfId="4521"/>
    <cellStyle name="40% - akcent 5 54" xfId="4522"/>
    <cellStyle name="40% - akcent 5 54 2" xfId="4523"/>
    <cellStyle name="40% - akcent 5 55" xfId="4524"/>
    <cellStyle name="40% - akcent 5 55 2" xfId="4525"/>
    <cellStyle name="40% - akcent 5 56" xfId="4526"/>
    <cellStyle name="40% - akcent 5 56 2" xfId="4527"/>
    <cellStyle name="40% - akcent 5 57" xfId="4528"/>
    <cellStyle name="40% - akcent 5 57 2" xfId="4529"/>
    <cellStyle name="40% - akcent 5 58" xfId="4530"/>
    <cellStyle name="40% - akcent 5 58 2" xfId="4531"/>
    <cellStyle name="40% - akcent 5 59" xfId="4532"/>
    <cellStyle name="40% - akcent 5 59 2" xfId="4533"/>
    <cellStyle name="40% - akcent 5 6" xfId="4534"/>
    <cellStyle name="40% - akcent 5 60" xfId="4535"/>
    <cellStyle name="40% - akcent 5 60 2" xfId="4536"/>
    <cellStyle name="40% - akcent 5 61" xfId="4537"/>
    <cellStyle name="40% - akcent 5 61 2" xfId="4538"/>
    <cellStyle name="40% - akcent 5 62" xfId="4539"/>
    <cellStyle name="40% - akcent 5 62 2" xfId="4540"/>
    <cellStyle name="40% - akcent 5 63" xfId="4541"/>
    <cellStyle name="40% - akcent 5 63 2" xfId="4542"/>
    <cellStyle name="40% - akcent 5 64" xfId="4543"/>
    <cellStyle name="40% - akcent 5 64 2" xfId="4544"/>
    <cellStyle name="40% - akcent 5 65" xfId="4545"/>
    <cellStyle name="40% - akcent 5 65 2" xfId="4546"/>
    <cellStyle name="40% - akcent 5 66" xfId="4547"/>
    <cellStyle name="40% - akcent 5 66 2" xfId="4548"/>
    <cellStyle name="40% - akcent 5 67" xfId="4549"/>
    <cellStyle name="40% - akcent 5 67 2" xfId="4550"/>
    <cellStyle name="40% - akcent 5 68" xfId="4551"/>
    <cellStyle name="40% - akcent 5 68 2" xfId="4552"/>
    <cellStyle name="40% - akcent 5 69" xfId="4553"/>
    <cellStyle name="40% - akcent 5 69 2" xfId="4554"/>
    <cellStyle name="40% - akcent 5 7" xfId="4555"/>
    <cellStyle name="40% - akcent 5 70" xfId="4556"/>
    <cellStyle name="40% - akcent 5 70 2" xfId="4557"/>
    <cellStyle name="40% - akcent 5 71" xfId="4558"/>
    <cellStyle name="40% - akcent 5 71 2" xfId="4559"/>
    <cellStyle name="40% - akcent 5 72" xfId="4560"/>
    <cellStyle name="40% - akcent 5 72 2" xfId="4561"/>
    <cellStyle name="40% - akcent 5 73" xfId="4562"/>
    <cellStyle name="40% - akcent 5 73 2" xfId="4563"/>
    <cellStyle name="40% - akcent 5 74" xfId="4564"/>
    <cellStyle name="40% - akcent 5 74 2" xfId="4565"/>
    <cellStyle name="40% - akcent 5 75" xfId="4566"/>
    <cellStyle name="40% - akcent 5 75 2" xfId="4567"/>
    <cellStyle name="40% - akcent 5 76" xfId="4568"/>
    <cellStyle name="40% - akcent 5 76 2" xfId="4569"/>
    <cellStyle name="40% - akcent 5 77" xfId="4570"/>
    <cellStyle name="40% - akcent 5 77 2" xfId="4571"/>
    <cellStyle name="40% - akcent 5 78" xfId="4572"/>
    <cellStyle name="40% - akcent 5 78 2" xfId="4573"/>
    <cellStyle name="40% - akcent 5 79" xfId="4574"/>
    <cellStyle name="40% - akcent 5 79 2" xfId="4575"/>
    <cellStyle name="40% - akcent 5 8" xfId="4576"/>
    <cellStyle name="40% - akcent 5 80" xfId="4577"/>
    <cellStyle name="40% - akcent 5 80 2" xfId="4578"/>
    <cellStyle name="40% - akcent 5 81" xfId="4579"/>
    <cellStyle name="40% - akcent 5 81 2" xfId="4580"/>
    <cellStyle name="40% - akcent 5 82" xfId="4581"/>
    <cellStyle name="40% - akcent 5 82 2" xfId="4582"/>
    <cellStyle name="40% - akcent 5 83" xfId="4583"/>
    <cellStyle name="40% - akcent 5 83 2" xfId="4584"/>
    <cellStyle name="40% - akcent 5 84" xfId="4585"/>
    <cellStyle name="40% - akcent 5 84 2" xfId="4586"/>
    <cellStyle name="40% - akcent 5 85" xfId="4587"/>
    <cellStyle name="40% - akcent 5 85 2" xfId="4588"/>
    <cellStyle name="40% - akcent 5 86" xfId="4589"/>
    <cellStyle name="40% - akcent 5 86 2" xfId="4590"/>
    <cellStyle name="40% - akcent 5 87" xfId="4591"/>
    <cellStyle name="40% - akcent 5 87 2" xfId="4592"/>
    <cellStyle name="40% - akcent 5 88" xfId="4593"/>
    <cellStyle name="40% - akcent 5 88 2" xfId="4594"/>
    <cellStyle name="40% - akcent 5 89" xfId="4595"/>
    <cellStyle name="40% - akcent 5 89 2" xfId="4596"/>
    <cellStyle name="40% - akcent 5 9" xfId="4597"/>
    <cellStyle name="40% - akcent 5 90" xfId="4598"/>
    <cellStyle name="40% - akcent 5 90 2" xfId="4599"/>
    <cellStyle name="40% - akcent 5 91" xfId="4600"/>
    <cellStyle name="40% - akcent 5 91 2" xfId="4601"/>
    <cellStyle name="40% - akcent 5 92" xfId="4602"/>
    <cellStyle name="40% - akcent 5 92 2" xfId="4603"/>
    <cellStyle name="40% - akcent 5 93" xfId="4604"/>
    <cellStyle name="40% - akcent 5 93 2" xfId="4605"/>
    <cellStyle name="40% - akcent 5 94" xfId="4606"/>
    <cellStyle name="40% - akcent 5 94 2" xfId="4607"/>
    <cellStyle name="40% - akcent 5 95" xfId="4608"/>
    <cellStyle name="40% - akcent 5 95 2" xfId="4609"/>
    <cellStyle name="40% - akcent 5 96" xfId="4610"/>
    <cellStyle name="40% - akcent 5 96 2" xfId="4611"/>
    <cellStyle name="40% - akcent 5 97" xfId="4612"/>
    <cellStyle name="40% - akcent 5 97 2" xfId="4613"/>
    <cellStyle name="40% - akcent 5 98" xfId="4614"/>
    <cellStyle name="40% - akcent 5 98 2" xfId="4615"/>
    <cellStyle name="40% - akcent 5 99" xfId="4616"/>
    <cellStyle name="40% - akcent 5 99 2" xfId="4617"/>
    <cellStyle name="40% - akcent 6 10" xfId="4618"/>
    <cellStyle name="40% - akcent 6 100" xfId="4619"/>
    <cellStyle name="40% - akcent 6 100 2" xfId="4620"/>
    <cellStyle name="40% - akcent 6 101" xfId="4621"/>
    <cellStyle name="40% - akcent 6 101 2" xfId="4622"/>
    <cellStyle name="40% - akcent 6 102" xfId="4623"/>
    <cellStyle name="40% - akcent 6 102 2" xfId="4624"/>
    <cellStyle name="40% - akcent 6 103" xfId="4625"/>
    <cellStyle name="40% - akcent 6 103 2" xfId="4626"/>
    <cellStyle name="40% - akcent 6 104" xfId="4627"/>
    <cellStyle name="40% - akcent 6 104 2" xfId="4628"/>
    <cellStyle name="40% - akcent 6 105" xfId="4629"/>
    <cellStyle name="40% - akcent 6 105 2" xfId="4630"/>
    <cellStyle name="40% - akcent 6 106" xfId="4631"/>
    <cellStyle name="40% - akcent 6 106 2" xfId="4632"/>
    <cellStyle name="40% - akcent 6 107" xfId="4633"/>
    <cellStyle name="40% - akcent 6 107 2" xfId="4634"/>
    <cellStyle name="40% - akcent 6 108" xfId="4635"/>
    <cellStyle name="40% - akcent 6 108 2" xfId="4636"/>
    <cellStyle name="40% - akcent 6 109" xfId="4637"/>
    <cellStyle name="40% - akcent 6 109 2" xfId="4638"/>
    <cellStyle name="40% - akcent 6 11" xfId="4639"/>
    <cellStyle name="40% - akcent 6 110" xfId="4640"/>
    <cellStyle name="40% - akcent 6 110 2" xfId="4641"/>
    <cellStyle name="40% - akcent 6 111" xfId="4642"/>
    <cellStyle name="40% - akcent 6 111 2" xfId="4643"/>
    <cellStyle name="40% - akcent 6 112" xfId="4644"/>
    <cellStyle name="40% - akcent 6 112 2" xfId="4645"/>
    <cellStyle name="40% - akcent 6 113" xfId="4646"/>
    <cellStyle name="40% - akcent 6 113 2" xfId="4647"/>
    <cellStyle name="40% - akcent 6 114" xfId="4648"/>
    <cellStyle name="40% - akcent 6 114 2" xfId="4649"/>
    <cellStyle name="40% - akcent 6 115" xfId="4650"/>
    <cellStyle name="40% - akcent 6 115 2" xfId="4651"/>
    <cellStyle name="40% - akcent 6 116" xfId="4652"/>
    <cellStyle name="40% - akcent 6 116 2" xfId="4653"/>
    <cellStyle name="40% - akcent 6 117" xfId="4654"/>
    <cellStyle name="40% - akcent 6 117 2" xfId="4655"/>
    <cellStyle name="40% - akcent 6 118" xfId="4656"/>
    <cellStyle name="40% - akcent 6 118 2" xfId="4657"/>
    <cellStyle name="40% - akcent 6 119" xfId="4658"/>
    <cellStyle name="40% - akcent 6 119 2" xfId="4659"/>
    <cellStyle name="40% - akcent 6 12" xfId="4660"/>
    <cellStyle name="40% - akcent 6 120" xfId="4661"/>
    <cellStyle name="40% - akcent 6 121" xfId="4662"/>
    <cellStyle name="40% - akcent 6 13" xfId="4663"/>
    <cellStyle name="40% - akcent 6 14" xfId="4664"/>
    <cellStyle name="40% - akcent 6 15" xfId="4665"/>
    <cellStyle name="40% - akcent 6 16" xfId="4666"/>
    <cellStyle name="40% - akcent 6 17" xfId="4667"/>
    <cellStyle name="40% - akcent 6 18" xfId="4668"/>
    <cellStyle name="40% - akcent 6 19" xfId="4669"/>
    <cellStyle name="40% - akcent 6 2" xfId="4670"/>
    <cellStyle name="40% - akcent 6 2 10" xfId="4671"/>
    <cellStyle name="40% - akcent 6 2 10 2" xfId="4672"/>
    <cellStyle name="40% - akcent 6 2 10 3" xfId="4673"/>
    <cellStyle name="40% - akcent 6 2 10 4" xfId="4674"/>
    <cellStyle name="40% - akcent 6 2 10 5" xfId="4675"/>
    <cellStyle name="40% - akcent 6 2 10 6" xfId="4676"/>
    <cellStyle name="40% - akcent 6 2 11" xfId="4677"/>
    <cellStyle name="40% - akcent 6 2 11 2" xfId="4678"/>
    <cellStyle name="40% - akcent 6 2 11 3" xfId="4679"/>
    <cellStyle name="40% - akcent 6 2 11 4" xfId="4680"/>
    <cellStyle name="40% - akcent 6 2 11 5" xfId="4681"/>
    <cellStyle name="40% - akcent 6 2 11 6" xfId="4682"/>
    <cellStyle name="40% - akcent 6 2 12" xfId="4683"/>
    <cellStyle name="40% - akcent 6 2 12 2" xfId="4684"/>
    <cellStyle name="40% - akcent 6 2 12 3" xfId="4685"/>
    <cellStyle name="40% - akcent 6 2 12 4" xfId="4686"/>
    <cellStyle name="40% - akcent 6 2 12 5" xfId="4687"/>
    <cellStyle name="40% - akcent 6 2 12 6" xfId="4688"/>
    <cellStyle name="40% - akcent 6 2 13" xfId="4689"/>
    <cellStyle name="40% - akcent 6 2 13 2" xfId="4690"/>
    <cellStyle name="40% - akcent 6 2 13 3" xfId="4691"/>
    <cellStyle name="40% - akcent 6 2 13 4" xfId="4692"/>
    <cellStyle name="40% - akcent 6 2 13 5" xfId="4693"/>
    <cellStyle name="40% - akcent 6 2 13 6" xfId="4694"/>
    <cellStyle name="40% - akcent 6 2 14" xfId="4695"/>
    <cellStyle name="40% - akcent 6 2 14 2" xfId="4696"/>
    <cellStyle name="40% - akcent 6 2 14 3" xfId="4697"/>
    <cellStyle name="40% - akcent 6 2 14 4" xfId="4698"/>
    <cellStyle name="40% - akcent 6 2 14 5" xfId="4699"/>
    <cellStyle name="40% - akcent 6 2 14 6" xfId="4700"/>
    <cellStyle name="40% - akcent 6 2 15" xfId="4701"/>
    <cellStyle name="40% - akcent 6 2 15 2" xfId="4702"/>
    <cellStyle name="40% - akcent 6 2 15 3" xfId="4703"/>
    <cellStyle name="40% - akcent 6 2 15 4" xfId="4704"/>
    <cellStyle name="40% - akcent 6 2 15 5" xfId="4705"/>
    <cellStyle name="40% - akcent 6 2 15 6" xfId="4706"/>
    <cellStyle name="40% - akcent 6 2 16" xfId="4707"/>
    <cellStyle name="40% - akcent 6 2 16 2" xfId="4708"/>
    <cellStyle name="40% - akcent 6 2 16 3" xfId="4709"/>
    <cellStyle name="40% - akcent 6 2 16 4" xfId="4710"/>
    <cellStyle name="40% - akcent 6 2 16 5" xfId="4711"/>
    <cellStyle name="40% - akcent 6 2 16 6" xfId="4712"/>
    <cellStyle name="40% - akcent 6 2 17" xfId="4713"/>
    <cellStyle name="40% - akcent 6 2 17 2" xfId="4714"/>
    <cellStyle name="40% - akcent 6 2 17 3" xfId="4715"/>
    <cellStyle name="40% - akcent 6 2 17 4" xfId="4716"/>
    <cellStyle name="40% - akcent 6 2 17 5" xfId="4717"/>
    <cellStyle name="40% - akcent 6 2 17 6" xfId="4718"/>
    <cellStyle name="40% - akcent 6 2 18" xfId="4719"/>
    <cellStyle name="40% - akcent 6 2 18 2" xfId="4720"/>
    <cellStyle name="40% - akcent 6 2 18 3" xfId="4721"/>
    <cellStyle name="40% - akcent 6 2 18 4" xfId="4722"/>
    <cellStyle name="40% - akcent 6 2 18 5" xfId="4723"/>
    <cellStyle name="40% - akcent 6 2 18 6" xfId="4724"/>
    <cellStyle name="40% - akcent 6 2 19" xfId="4725"/>
    <cellStyle name="40% - akcent 6 2 19 2" xfId="4726"/>
    <cellStyle name="40% - akcent 6 2 19 3" xfId="4727"/>
    <cellStyle name="40% - akcent 6 2 19 4" xfId="4728"/>
    <cellStyle name="40% - akcent 6 2 19 5" xfId="4729"/>
    <cellStyle name="40% - akcent 6 2 19 6" xfId="4730"/>
    <cellStyle name="40% - akcent 6 2 2" xfId="4731"/>
    <cellStyle name="40% - akcent 6 2 2 2" xfId="4732"/>
    <cellStyle name="40% - akcent 6 2 2 3" xfId="4733"/>
    <cellStyle name="40% - akcent 6 2 2 4" xfId="4734"/>
    <cellStyle name="40% - akcent 6 2 2 5" xfId="4735"/>
    <cellStyle name="40% - akcent 6 2 2 6" xfId="4736"/>
    <cellStyle name="40% - akcent 6 2 2 7" xfId="4737"/>
    <cellStyle name="40% - akcent 6 2 20" xfId="4738"/>
    <cellStyle name="40% - akcent 6 2 20 2" xfId="4739"/>
    <cellStyle name="40% - akcent 6 2 20 3" xfId="4740"/>
    <cellStyle name="40% - akcent 6 2 20 4" xfId="4741"/>
    <cellStyle name="40% - akcent 6 2 20 5" xfId="4742"/>
    <cellStyle name="40% - akcent 6 2 20 6" xfId="4743"/>
    <cellStyle name="40% - akcent 6 2 21" xfId="4744"/>
    <cellStyle name="40% - akcent 6 2 21 2" xfId="4745"/>
    <cellStyle name="40% - akcent 6 2 21 3" xfId="4746"/>
    <cellStyle name="40% - akcent 6 2 21 4" xfId="4747"/>
    <cellStyle name="40% - akcent 6 2 21 5" xfId="4748"/>
    <cellStyle name="40% - akcent 6 2 21 6" xfId="4749"/>
    <cellStyle name="40% - akcent 6 2 22" xfId="4750"/>
    <cellStyle name="40% - akcent 6 2 22 2" xfId="4751"/>
    <cellStyle name="40% - akcent 6 2 22 3" xfId="4752"/>
    <cellStyle name="40% - akcent 6 2 22 4" xfId="4753"/>
    <cellStyle name="40% - akcent 6 2 22 5" xfId="4754"/>
    <cellStyle name="40% - akcent 6 2 22 6" xfId="4755"/>
    <cellStyle name="40% - akcent 6 2 23" xfId="4756"/>
    <cellStyle name="40% - akcent 6 2 23 2" xfId="4757"/>
    <cellStyle name="40% - akcent 6 2 23 3" xfId="4758"/>
    <cellStyle name="40% - akcent 6 2 23 4" xfId="4759"/>
    <cellStyle name="40% - akcent 6 2 23 5" xfId="4760"/>
    <cellStyle name="40% - akcent 6 2 23 6" xfId="4761"/>
    <cellStyle name="40% - akcent 6 2 24" xfId="4762"/>
    <cellStyle name="40% - akcent 6 2 24 2" xfId="4763"/>
    <cellStyle name="40% - akcent 6 2 24 3" xfId="4764"/>
    <cellStyle name="40% - akcent 6 2 24 4" xfId="4765"/>
    <cellStyle name="40% - akcent 6 2 24 5" xfId="4766"/>
    <cellStyle name="40% - akcent 6 2 24 6" xfId="4767"/>
    <cellStyle name="40% - akcent 6 2 25" xfId="4768"/>
    <cellStyle name="40% - akcent 6 2 25 2" xfId="4769"/>
    <cellStyle name="40% - akcent 6 2 25 3" xfId="4770"/>
    <cellStyle name="40% - akcent 6 2 25 4" xfId="4771"/>
    <cellStyle name="40% - akcent 6 2 25 5" xfId="4772"/>
    <cellStyle name="40% - akcent 6 2 25 6" xfId="4773"/>
    <cellStyle name="40% - akcent 6 2 26" xfId="4774"/>
    <cellStyle name="40% - akcent 6 2 26 2" xfId="4775"/>
    <cellStyle name="40% - akcent 6 2 26 3" xfId="4776"/>
    <cellStyle name="40% - akcent 6 2 26 4" xfId="4777"/>
    <cellStyle name="40% - akcent 6 2 26 5" xfId="4778"/>
    <cellStyle name="40% - akcent 6 2 26 6" xfId="4779"/>
    <cellStyle name="40% - akcent 6 2 27" xfId="4780"/>
    <cellStyle name="40% - akcent 6 2 27 2" xfId="4781"/>
    <cellStyle name="40% - akcent 6 2 27 3" xfId="4782"/>
    <cellStyle name="40% - akcent 6 2 27 4" xfId="4783"/>
    <cellStyle name="40% - akcent 6 2 27 5" xfId="4784"/>
    <cellStyle name="40% - akcent 6 2 27 6" xfId="4785"/>
    <cellStyle name="40% - akcent 6 2 28" xfId="4786"/>
    <cellStyle name="40% - akcent 6 2 28 2" xfId="4787"/>
    <cellStyle name="40% - akcent 6 2 28 3" xfId="4788"/>
    <cellStyle name="40% - akcent 6 2 28 4" xfId="4789"/>
    <cellStyle name="40% - akcent 6 2 28 5" xfId="4790"/>
    <cellStyle name="40% - akcent 6 2 28 6" xfId="4791"/>
    <cellStyle name="40% - akcent 6 2 29" xfId="4792"/>
    <cellStyle name="40% - akcent 6 2 29 2" xfId="4793"/>
    <cellStyle name="40% - akcent 6 2 3" xfId="4794"/>
    <cellStyle name="40% - akcent 6 2 3 2" xfId="4795"/>
    <cellStyle name="40% - akcent 6 2 3 3" xfId="4796"/>
    <cellStyle name="40% - akcent 6 2 3 4" xfId="4797"/>
    <cellStyle name="40% - akcent 6 2 3 5" xfId="4798"/>
    <cellStyle name="40% - akcent 6 2 3 6" xfId="4799"/>
    <cellStyle name="40% - akcent 6 2 3 7" xfId="4800"/>
    <cellStyle name="40% - akcent 6 2 30" xfId="4801"/>
    <cellStyle name="40% - akcent 6 2 30 2" xfId="4802"/>
    <cellStyle name="40% - akcent 6 2 31" xfId="4803"/>
    <cellStyle name="40% - akcent 6 2 31 2" xfId="4804"/>
    <cellStyle name="40% - akcent 6 2 32" xfId="4805"/>
    <cellStyle name="40% - akcent 6 2 32 2" xfId="4806"/>
    <cellStyle name="40% - akcent 6 2 33" xfId="4807"/>
    <cellStyle name="40% - akcent 6 2 34" xfId="4808"/>
    <cellStyle name="40% - akcent 6 2 35" xfId="4809"/>
    <cellStyle name="40% - akcent 6 2 36" xfId="4810"/>
    <cellStyle name="40% - akcent 6 2 37" xfId="4811"/>
    <cellStyle name="40% - akcent 6 2 38" xfId="4812"/>
    <cellStyle name="40% - akcent 6 2 39" xfId="4813"/>
    <cellStyle name="40% - akcent 6 2 4" xfId="4814"/>
    <cellStyle name="40% - akcent 6 2 4 2" xfId="4815"/>
    <cellStyle name="40% - akcent 6 2 4 3" xfId="4816"/>
    <cellStyle name="40% - akcent 6 2 4 4" xfId="4817"/>
    <cellStyle name="40% - akcent 6 2 4 5" xfId="4818"/>
    <cellStyle name="40% - akcent 6 2 4 6" xfId="4819"/>
    <cellStyle name="40% - akcent 6 2 4 7" xfId="4820"/>
    <cellStyle name="40% - akcent 6 2 40" xfId="4821"/>
    <cellStyle name="40% - akcent 6 2 41" xfId="4822"/>
    <cellStyle name="40% - akcent 6 2 42" xfId="4823"/>
    <cellStyle name="40% - akcent 6 2 43" xfId="4824"/>
    <cellStyle name="40% - akcent 6 2 44" xfId="4825"/>
    <cellStyle name="40% - akcent 6 2 45" xfId="4826"/>
    <cellStyle name="40% - akcent 6 2 46" xfId="4827"/>
    <cellStyle name="40% - akcent 6 2 47" xfId="4828"/>
    <cellStyle name="40% - akcent 6 2 48" xfId="4829"/>
    <cellStyle name="40% - akcent 6 2 49" xfId="4830"/>
    <cellStyle name="40% - akcent 6 2 5" xfId="4831"/>
    <cellStyle name="40% - akcent 6 2 5 2" xfId="4832"/>
    <cellStyle name="40% - akcent 6 2 5 3" xfId="4833"/>
    <cellStyle name="40% - akcent 6 2 5 4" xfId="4834"/>
    <cellStyle name="40% - akcent 6 2 5 5" xfId="4835"/>
    <cellStyle name="40% - akcent 6 2 5 6" xfId="4836"/>
    <cellStyle name="40% - akcent 6 2 50" xfId="4837"/>
    <cellStyle name="40% - akcent 6 2 51" xfId="4838"/>
    <cellStyle name="40% - akcent 6 2 6" xfId="4839"/>
    <cellStyle name="40% - akcent 6 2 6 2" xfId="4840"/>
    <cellStyle name="40% - akcent 6 2 6 3" xfId="4841"/>
    <cellStyle name="40% - akcent 6 2 6 4" xfId="4842"/>
    <cellStyle name="40% - akcent 6 2 6 5" xfId="4843"/>
    <cellStyle name="40% - akcent 6 2 6 6" xfId="4844"/>
    <cellStyle name="40% - akcent 6 2 7" xfId="4845"/>
    <cellStyle name="40% - akcent 6 2 7 2" xfId="4846"/>
    <cellStyle name="40% - akcent 6 2 7 3" xfId="4847"/>
    <cellStyle name="40% - akcent 6 2 7 4" xfId="4848"/>
    <cellStyle name="40% - akcent 6 2 7 5" xfId="4849"/>
    <cellStyle name="40% - akcent 6 2 7 6" xfId="4850"/>
    <cellStyle name="40% - akcent 6 2 8" xfId="4851"/>
    <cellStyle name="40% - akcent 6 2 8 2" xfId="4852"/>
    <cellStyle name="40% - akcent 6 2 8 3" xfId="4853"/>
    <cellStyle name="40% - akcent 6 2 8 4" xfId="4854"/>
    <cellStyle name="40% - akcent 6 2 8 5" xfId="4855"/>
    <cellStyle name="40% - akcent 6 2 8 6" xfId="4856"/>
    <cellStyle name="40% - akcent 6 2 9" xfId="4857"/>
    <cellStyle name="40% - akcent 6 2 9 2" xfId="4858"/>
    <cellStyle name="40% - akcent 6 2 9 3" xfId="4859"/>
    <cellStyle name="40% - akcent 6 2 9 4" xfId="4860"/>
    <cellStyle name="40% - akcent 6 2 9 5" xfId="4861"/>
    <cellStyle name="40% - akcent 6 2 9 6" xfId="4862"/>
    <cellStyle name="40% - akcent 6 20" xfId="4863"/>
    <cellStyle name="40% - akcent 6 21" xfId="4864"/>
    <cellStyle name="40% - akcent 6 22" xfId="4865"/>
    <cellStyle name="40% - akcent 6 23" xfId="4866"/>
    <cellStyle name="40% - akcent 6 24" xfId="4867"/>
    <cellStyle name="40% - akcent 6 25" xfId="4868"/>
    <cellStyle name="40% - akcent 6 26" xfId="4869"/>
    <cellStyle name="40% - akcent 6 27" xfId="4870"/>
    <cellStyle name="40% - akcent 6 28" xfId="4871"/>
    <cellStyle name="40% - akcent 6 29" xfId="4872"/>
    <cellStyle name="40% - akcent 6 3" xfId="4873"/>
    <cellStyle name="40% - akcent 6 3 2" xfId="4874"/>
    <cellStyle name="40% - akcent 6 3 2 2" xfId="4875"/>
    <cellStyle name="40% - akcent 6 3 3" xfId="4876"/>
    <cellStyle name="40% - akcent 6 3 3 2" xfId="4877"/>
    <cellStyle name="40% - akcent 6 3 4" xfId="4878"/>
    <cellStyle name="40% - akcent 6 3 4 2" xfId="4879"/>
    <cellStyle name="40% - akcent 6 3 5" xfId="4880"/>
    <cellStyle name="40% - akcent 6 3 6" xfId="4881"/>
    <cellStyle name="40% - akcent 6 3 7" xfId="4882"/>
    <cellStyle name="40% - akcent 6 3 8" xfId="4883"/>
    <cellStyle name="40% - akcent 6 30" xfId="4884"/>
    <cellStyle name="40% - akcent 6 30 2" xfId="4885"/>
    <cellStyle name="40% - akcent 6 31" xfId="4886"/>
    <cellStyle name="40% - akcent 6 31 2" xfId="4887"/>
    <cellStyle name="40% - akcent 6 32" xfId="4888"/>
    <cellStyle name="40% - akcent 6 32 2" xfId="4889"/>
    <cellStyle name="40% - akcent 6 33" xfId="4890"/>
    <cellStyle name="40% - akcent 6 33 2" xfId="4891"/>
    <cellStyle name="40% - akcent 6 34" xfId="4892"/>
    <cellStyle name="40% - akcent 6 34 2" xfId="4893"/>
    <cellStyle name="40% - akcent 6 35" xfId="4894"/>
    <cellStyle name="40% - akcent 6 35 2" xfId="4895"/>
    <cellStyle name="40% - akcent 6 36" xfId="4896"/>
    <cellStyle name="40% - akcent 6 36 2" xfId="4897"/>
    <cellStyle name="40% - akcent 6 37" xfId="4898"/>
    <cellStyle name="40% - akcent 6 37 2" xfId="4899"/>
    <cellStyle name="40% - akcent 6 38" xfId="4900"/>
    <cellStyle name="40% - akcent 6 38 2" xfId="4901"/>
    <cellStyle name="40% - akcent 6 39" xfId="4902"/>
    <cellStyle name="40% - akcent 6 39 2" xfId="4903"/>
    <cellStyle name="40% - akcent 6 4" xfId="4904"/>
    <cellStyle name="40% - akcent 6 4 2" xfId="4905"/>
    <cellStyle name="40% - akcent 6 4 2 2" xfId="4906"/>
    <cellStyle name="40% - akcent 6 4 3" xfId="4907"/>
    <cellStyle name="40% - akcent 6 4 3 2" xfId="4908"/>
    <cellStyle name="40% - akcent 6 4 4" xfId="4909"/>
    <cellStyle name="40% - akcent 6 4 4 2" xfId="4910"/>
    <cellStyle name="40% - akcent 6 4 5" xfId="4911"/>
    <cellStyle name="40% - akcent 6 4 6" xfId="4912"/>
    <cellStyle name="40% - akcent 6 4 7" xfId="4913"/>
    <cellStyle name="40% - akcent 6 4 8" xfId="4914"/>
    <cellStyle name="40% - akcent 6 40" xfId="4915"/>
    <cellStyle name="40% - akcent 6 40 2" xfId="4916"/>
    <cellStyle name="40% - akcent 6 41" xfId="4917"/>
    <cellStyle name="40% - akcent 6 41 2" xfId="4918"/>
    <cellStyle name="40% - akcent 6 42" xfId="4919"/>
    <cellStyle name="40% - akcent 6 42 2" xfId="4920"/>
    <cellStyle name="40% - akcent 6 43" xfId="4921"/>
    <cellStyle name="40% - akcent 6 43 2" xfId="4922"/>
    <cellStyle name="40% - akcent 6 44" xfId="4923"/>
    <cellStyle name="40% - akcent 6 44 2" xfId="4924"/>
    <cellStyle name="40% - akcent 6 45" xfId="4925"/>
    <cellStyle name="40% - akcent 6 45 2" xfId="4926"/>
    <cellStyle name="40% - akcent 6 46" xfId="4927"/>
    <cellStyle name="40% - akcent 6 46 2" xfId="4928"/>
    <cellStyle name="40% - akcent 6 47" xfId="4929"/>
    <cellStyle name="40% - akcent 6 47 2" xfId="4930"/>
    <cellStyle name="40% - akcent 6 48" xfId="4931"/>
    <cellStyle name="40% - akcent 6 48 2" xfId="4932"/>
    <cellStyle name="40% - akcent 6 49" xfId="4933"/>
    <cellStyle name="40% - akcent 6 49 2" xfId="4934"/>
    <cellStyle name="40% - akcent 6 5" xfId="4935"/>
    <cellStyle name="40% - akcent 6 5 2" xfId="4936"/>
    <cellStyle name="40% - akcent 6 5 3" xfId="4937"/>
    <cellStyle name="40% - akcent 6 50" xfId="4938"/>
    <cellStyle name="40% - akcent 6 50 2" xfId="4939"/>
    <cellStyle name="40% - akcent 6 51" xfId="4940"/>
    <cellStyle name="40% - akcent 6 51 2" xfId="4941"/>
    <cellStyle name="40% - akcent 6 52" xfId="4942"/>
    <cellStyle name="40% - akcent 6 52 2" xfId="4943"/>
    <cellStyle name="40% - akcent 6 53" xfId="4944"/>
    <cellStyle name="40% - akcent 6 53 2" xfId="4945"/>
    <cellStyle name="40% - akcent 6 54" xfId="4946"/>
    <cellStyle name="40% - akcent 6 54 2" xfId="4947"/>
    <cellStyle name="40% - akcent 6 55" xfId="4948"/>
    <cellStyle name="40% - akcent 6 55 2" xfId="4949"/>
    <cellStyle name="40% - akcent 6 56" xfId="4950"/>
    <cellStyle name="40% - akcent 6 56 2" xfId="4951"/>
    <cellStyle name="40% - akcent 6 57" xfId="4952"/>
    <cellStyle name="40% - akcent 6 57 2" xfId="4953"/>
    <cellStyle name="40% - akcent 6 58" xfId="4954"/>
    <cellStyle name="40% - akcent 6 58 2" xfId="4955"/>
    <cellStyle name="40% - akcent 6 59" xfId="4956"/>
    <cellStyle name="40% - akcent 6 59 2" xfId="4957"/>
    <cellStyle name="40% - akcent 6 6" xfId="4958"/>
    <cellStyle name="40% - akcent 6 60" xfId="4959"/>
    <cellStyle name="40% - akcent 6 60 2" xfId="4960"/>
    <cellStyle name="40% - akcent 6 61" xfId="4961"/>
    <cellStyle name="40% - akcent 6 61 2" xfId="4962"/>
    <cellStyle name="40% - akcent 6 62" xfId="4963"/>
    <cellStyle name="40% - akcent 6 62 2" xfId="4964"/>
    <cellStyle name="40% - akcent 6 63" xfId="4965"/>
    <cellStyle name="40% - akcent 6 63 2" xfId="4966"/>
    <cellStyle name="40% - akcent 6 64" xfId="4967"/>
    <cellStyle name="40% - akcent 6 64 2" xfId="4968"/>
    <cellStyle name="40% - akcent 6 65" xfId="4969"/>
    <cellStyle name="40% - akcent 6 65 2" xfId="4970"/>
    <cellStyle name="40% - akcent 6 66" xfId="4971"/>
    <cellStyle name="40% - akcent 6 66 2" xfId="4972"/>
    <cellStyle name="40% - akcent 6 67" xfId="4973"/>
    <cellStyle name="40% - akcent 6 67 2" xfId="4974"/>
    <cellStyle name="40% - akcent 6 68" xfId="4975"/>
    <cellStyle name="40% - akcent 6 68 2" xfId="4976"/>
    <cellStyle name="40% - akcent 6 69" xfId="4977"/>
    <cellStyle name="40% - akcent 6 69 2" xfId="4978"/>
    <cellStyle name="40% - akcent 6 7" xfId="4979"/>
    <cellStyle name="40% - akcent 6 70" xfId="4980"/>
    <cellStyle name="40% - akcent 6 70 2" xfId="4981"/>
    <cellStyle name="40% - akcent 6 71" xfId="4982"/>
    <cellStyle name="40% - akcent 6 71 2" xfId="4983"/>
    <cellStyle name="40% - akcent 6 72" xfId="4984"/>
    <cellStyle name="40% - akcent 6 72 2" xfId="4985"/>
    <cellStyle name="40% - akcent 6 73" xfId="4986"/>
    <cellStyle name="40% - akcent 6 73 2" xfId="4987"/>
    <cellStyle name="40% - akcent 6 74" xfId="4988"/>
    <cellStyle name="40% - akcent 6 74 2" xfId="4989"/>
    <cellStyle name="40% - akcent 6 75" xfId="4990"/>
    <cellStyle name="40% - akcent 6 75 2" xfId="4991"/>
    <cellStyle name="40% - akcent 6 76" xfId="4992"/>
    <cellStyle name="40% - akcent 6 76 2" xfId="4993"/>
    <cellStyle name="40% - akcent 6 77" xfId="4994"/>
    <cellStyle name="40% - akcent 6 77 2" xfId="4995"/>
    <cellStyle name="40% - akcent 6 78" xfId="4996"/>
    <cellStyle name="40% - akcent 6 78 2" xfId="4997"/>
    <cellStyle name="40% - akcent 6 79" xfId="4998"/>
    <cellStyle name="40% - akcent 6 79 2" xfId="4999"/>
    <cellStyle name="40% - akcent 6 8" xfId="5000"/>
    <cellStyle name="40% - akcent 6 80" xfId="5001"/>
    <cellStyle name="40% - akcent 6 80 2" xfId="5002"/>
    <cellStyle name="40% - akcent 6 81" xfId="5003"/>
    <cellStyle name="40% - akcent 6 81 2" xfId="5004"/>
    <cellStyle name="40% - akcent 6 82" xfId="5005"/>
    <cellStyle name="40% - akcent 6 82 2" xfId="5006"/>
    <cellStyle name="40% - akcent 6 83" xfId="5007"/>
    <cellStyle name="40% - akcent 6 83 2" xfId="5008"/>
    <cellStyle name="40% - akcent 6 84" xfId="5009"/>
    <cellStyle name="40% - akcent 6 84 2" xfId="5010"/>
    <cellStyle name="40% - akcent 6 85" xfId="5011"/>
    <cellStyle name="40% - akcent 6 85 2" xfId="5012"/>
    <cellStyle name="40% - akcent 6 86" xfId="5013"/>
    <cellStyle name="40% - akcent 6 86 2" xfId="5014"/>
    <cellStyle name="40% - akcent 6 87" xfId="5015"/>
    <cellStyle name="40% - akcent 6 87 2" xfId="5016"/>
    <cellStyle name="40% - akcent 6 88" xfId="5017"/>
    <cellStyle name="40% - akcent 6 88 2" xfId="5018"/>
    <cellStyle name="40% - akcent 6 89" xfId="5019"/>
    <cellStyle name="40% - akcent 6 89 2" xfId="5020"/>
    <cellStyle name="40% - akcent 6 9" xfId="5021"/>
    <cellStyle name="40% - akcent 6 90" xfId="5022"/>
    <cellStyle name="40% - akcent 6 90 2" xfId="5023"/>
    <cellStyle name="40% - akcent 6 91" xfId="5024"/>
    <cellStyle name="40% - akcent 6 91 2" xfId="5025"/>
    <cellStyle name="40% - akcent 6 92" xfId="5026"/>
    <cellStyle name="40% - akcent 6 92 2" xfId="5027"/>
    <cellStyle name="40% - akcent 6 93" xfId="5028"/>
    <cellStyle name="40% - akcent 6 93 2" xfId="5029"/>
    <cellStyle name="40% - akcent 6 94" xfId="5030"/>
    <cellStyle name="40% - akcent 6 94 2" xfId="5031"/>
    <cellStyle name="40% - akcent 6 95" xfId="5032"/>
    <cellStyle name="40% - akcent 6 95 2" xfId="5033"/>
    <cellStyle name="40% - akcent 6 96" xfId="5034"/>
    <cellStyle name="40% - akcent 6 96 2" xfId="5035"/>
    <cellStyle name="40% - akcent 6 97" xfId="5036"/>
    <cellStyle name="40% - akcent 6 97 2" xfId="5037"/>
    <cellStyle name="40% - akcent 6 98" xfId="5038"/>
    <cellStyle name="40% - akcent 6 98 2" xfId="5039"/>
    <cellStyle name="40% - akcent 6 99" xfId="5040"/>
    <cellStyle name="40% - akcent 6 99 2" xfId="5041"/>
    <cellStyle name="60% - akcent 1 2" xfId="5042"/>
    <cellStyle name="60% - akcent 1 2 10" xfId="5043"/>
    <cellStyle name="60% - akcent 1 2 10 2" xfId="5044"/>
    <cellStyle name="60% - akcent 1 2 10 3" xfId="5045"/>
    <cellStyle name="60% - akcent 1 2 10 4" xfId="5046"/>
    <cellStyle name="60% - akcent 1 2 10 5" xfId="5047"/>
    <cellStyle name="60% - akcent 1 2 10 6" xfId="5048"/>
    <cellStyle name="60% - akcent 1 2 11" xfId="5049"/>
    <cellStyle name="60% - akcent 1 2 11 2" xfId="5050"/>
    <cellStyle name="60% - akcent 1 2 11 3" xfId="5051"/>
    <cellStyle name="60% - akcent 1 2 11 4" xfId="5052"/>
    <cellStyle name="60% - akcent 1 2 11 5" xfId="5053"/>
    <cellStyle name="60% - akcent 1 2 11 6" xfId="5054"/>
    <cellStyle name="60% - akcent 1 2 12" xfId="5055"/>
    <cellStyle name="60% - akcent 1 2 12 2" xfId="5056"/>
    <cellStyle name="60% - akcent 1 2 12 3" xfId="5057"/>
    <cellStyle name="60% - akcent 1 2 12 4" xfId="5058"/>
    <cellStyle name="60% - akcent 1 2 12 5" xfId="5059"/>
    <cellStyle name="60% - akcent 1 2 12 6" xfId="5060"/>
    <cellStyle name="60% - akcent 1 2 13" xfId="5061"/>
    <cellStyle name="60% - akcent 1 2 13 2" xfId="5062"/>
    <cellStyle name="60% - akcent 1 2 13 3" xfId="5063"/>
    <cellStyle name="60% - akcent 1 2 13 4" xfId="5064"/>
    <cellStyle name="60% - akcent 1 2 13 5" xfId="5065"/>
    <cellStyle name="60% - akcent 1 2 13 6" xfId="5066"/>
    <cellStyle name="60% - akcent 1 2 14" xfId="5067"/>
    <cellStyle name="60% - akcent 1 2 14 2" xfId="5068"/>
    <cellStyle name="60% - akcent 1 2 14 3" xfId="5069"/>
    <cellStyle name="60% - akcent 1 2 14 4" xfId="5070"/>
    <cellStyle name="60% - akcent 1 2 14 5" xfId="5071"/>
    <cellStyle name="60% - akcent 1 2 14 6" xfId="5072"/>
    <cellStyle name="60% - akcent 1 2 15" xfId="5073"/>
    <cellStyle name="60% - akcent 1 2 15 2" xfId="5074"/>
    <cellStyle name="60% - akcent 1 2 15 3" xfId="5075"/>
    <cellStyle name="60% - akcent 1 2 15 4" xfId="5076"/>
    <cellStyle name="60% - akcent 1 2 15 5" xfId="5077"/>
    <cellStyle name="60% - akcent 1 2 15 6" xfId="5078"/>
    <cellStyle name="60% - akcent 1 2 16" xfId="5079"/>
    <cellStyle name="60% - akcent 1 2 16 2" xfId="5080"/>
    <cellStyle name="60% - akcent 1 2 16 3" xfId="5081"/>
    <cellStyle name="60% - akcent 1 2 16 4" xfId="5082"/>
    <cellStyle name="60% - akcent 1 2 16 5" xfId="5083"/>
    <cellStyle name="60% - akcent 1 2 16 6" xfId="5084"/>
    <cellStyle name="60% - akcent 1 2 17" xfId="5085"/>
    <cellStyle name="60% - akcent 1 2 17 2" xfId="5086"/>
    <cellStyle name="60% - akcent 1 2 17 3" xfId="5087"/>
    <cellStyle name="60% - akcent 1 2 17 4" xfId="5088"/>
    <cellStyle name="60% - akcent 1 2 17 5" xfId="5089"/>
    <cellStyle name="60% - akcent 1 2 17 6" xfId="5090"/>
    <cellStyle name="60% - akcent 1 2 18" xfId="5091"/>
    <cellStyle name="60% - akcent 1 2 18 2" xfId="5092"/>
    <cellStyle name="60% - akcent 1 2 18 3" xfId="5093"/>
    <cellStyle name="60% - akcent 1 2 18 4" xfId="5094"/>
    <cellStyle name="60% - akcent 1 2 18 5" xfId="5095"/>
    <cellStyle name="60% - akcent 1 2 18 6" xfId="5096"/>
    <cellStyle name="60% - akcent 1 2 19" xfId="5097"/>
    <cellStyle name="60% - akcent 1 2 19 2" xfId="5098"/>
    <cellStyle name="60% - akcent 1 2 19 3" xfId="5099"/>
    <cellStyle name="60% - akcent 1 2 19 4" xfId="5100"/>
    <cellStyle name="60% - akcent 1 2 19 5" xfId="5101"/>
    <cellStyle name="60% - akcent 1 2 19 6" xfId="5102"/>
    <cellStyle name="60% - akcent 1 2 2" xfId="5103"/>
    <cellStyle name="60% - akcent 1 2 2 2" xfId="5104"/>
    <cellStyle name="60% - akcent 1 2 2 3" xfId="5105"/>
    <cellStyle name="60% - akcent 1 2 2 4" xfId="5106"/>
    <cellStyle name="60% - akcent 1 2 2 5" xfId="5107"/>
    <cellStyle name="60% - akcent 1 2 2 6" xfId="5108"/>
    <cellStyle name="60% - akcent 1 2 2 7" xfId="5109"/>
    <cellStyle name="60% - akcent 1 2 20" xfId="5110"/>
    <cellStyle name="60% - akcent 1 2 20 2" xfId="5111"/>
    <cellStyle name="60% - akcent 1 2 20 3" xfId="5112"/>
    <cellStyle name="60% - akcent 1 2 20 4" xfId="5113"/>
    <cellStyle name="60% - akcent 1 2 20 5" xfId="5114"/>
    <cellStyle name="60% - akcent 1 2 20 6" xfId="5115"/>
    <cellStyle name="60% - akcent 1 2 21" xfId="5116"/>
    <cellStyle name="60% - akcent 1 2 21 2" xfId="5117"/>
    <cellStyle name="60% - akcent 1 2 21 3" xfId="5118"/>
    <cellStyle name="60% - akcent 1 2 21 4" xfId="5119"/>
    <cellStyle name="60% - akcent 1 2 21 5" xfId="5120"/>
    <cellStyle name="60% - akcent 1 2 21 6" xfId="5121"/>
    <cellStyle name="60% - akcent 1 2 22" xfId="5122"/>
    <cellStyle name="60% - akcent 1 2 22 2" xfId="5123"/>
    <cellStyle name="60% - akcent 1 2 22 3" xfId="5124"/>
    <cellStyle name="60% - akcent 1 2 22 4" xfId="5125"/>
    <cellStyle name="60% - akcent 1 2 22 5" xfId="5126"/>
    <cellStyle name="60% - akcent 1 2 22 6" xfId="5127"/>
    <cellStyle name="60% - akcent 1 2 23" xfId="5128"/>
    <cellStyle name="60% - akcent 1 2 23 2" xfId="5129"/>
    <cellStyle name="60% - akcent 1 2 23 3" xfId="5130"/>
    <cellStyle name="60% - akcent 1 2 23 4" xfId="5131"/>
    <cellStyle name="60% - akcent 1 2 23 5" xfId="5132"/>
    <cellStyle name="60% - akcent 1 2 23 6" xfId="5133"/>
    <cellStyle name="60% - akcent 1 2 24" xfId="5134"/>
    <cellStyle name="60% - akcent 1 2 24 2" xfId="5135"/>
    <cellStyle name="60% - akcent 1 2 24 3" xfId="5136"/>
    <cellStyle name="60% - akcent 1 2 24 4" xfId="5137"/>
    <cellStyle name="60% - akcent 1 2 24 5" xfId="5138"/>
    <cellStyle name="60% - akcent 1 2 24 6" xfId="5139"/>
    <cellStyle name="60% - akcent 1 2 25" xfId="5140"/>
    <cellStyle name="60% - akcent 1 2 25 2" xfId="5141"/>
    <cellStyle name="60% - akcent 1 2 25 3" xfId="5142"/>
    <cellStyle name="60% - akcent 1 2 25 4" xfId="5143"/>
    <cellStyle name="60% - akcent 1 2 25 5" xfId="5144"/>
    <cellStyle name="60% - akcent 1 2 25 6" xfId="5145"/>
    <cellStyle name="60% - akcent 1 2 26" xfId="5146"/>
    <cellStyle name="60% - akcent 1 2 26 2" xfId="5147"/>
    <cellStyle name="60% - akcent 1 2 26 3" xfId="5148"/>
    <cellStyle name="60% - akcent 1 2 26 4" xfId="5149"/>
    <cellStyle name="60% - akcent 1 2 26 5" xfId="5150"/>
    <cellStyle name="60% - akcent 1 2 26 6" xfId="5151"/>
    <cellStyle name="60% - akcent 1 2 27" xfId="5152"/>
    <cellStyle name="60% - akcent 1 2 27 2" xfId="5153"/>
    <cellStyle name="60% - akcent 1 2 27 3" xfId="5154"/>
    <cellStyle name="60% - akcent 1 2 27 4" xfId="5155"/>
    <cellStyle name="60% - akcent 1 2 27 5" xfId="5156"/>
    <cellStyle name="60% - akcent 1 2 27 6" xfId="5157"/>
    <cellStyle name="60% - akcent 1 2 28" xfId="5158"/>
    <cellStyle name="60% - akcent 1 2 28 2" xfId="5159"/>
    <cellStyle name="60% - akcent 1 2 28 3" xfId="5160"/>
    <cellStyle name="60% - akcent 1 2 28 4" xfId="5161"/>
    <cellStyle name="60% - akcent 1 2 28 5" xfId="5162"/>
    <cellStyle name="60% - akcent 1 2 28 6" xfId="5163"/>
    <cellStyle name="60% - akcent 1 2 29" xfId="5164"/>
    <cellStyle name="60% - akcent 1 2 29 2" xfId="5165"/>
    <cellStyle name="60% - akcent 1 2 3" xfId="5166"/>
    <cellStyle name="60% - akcent 1 2 3 2" xfId="5167"/>
    <cellStyle name="60% - akcent 1 2 3 3" xfId="5168"/>
    <cellStyle name="60% - akcent 1 2 3 4" xfId="5169"/>
    <cellStyle name="60% - akcent 1 2 3 5" xfId="5170"/>
    <cellStyle name="60% - akcent 1 2 3 6" xfId="5171"/>
    <cellStyle name="60% - akcent 1 2 30" xfId="5172"/>
    <cellStyle name="60% - akcent 1 2 30 2" xfId="5173"/>
    <cellStyle name="60% - akcent 1 2 31" xfId="5174"/>
    <cellStyle name="60% - akcent 1 2 31 2" xfId="5175"/>
    <cellStyle name="60% - akcent 1 2 32" xfId="5176"/>
    <cellStyle name="60% - akcent 1 2 32 2" xfId="5177"/>
    <cellStyle name="60% - akcent 1 2 33" xfId="5178"/>
    <cellStyle name="60% - akcent 1 2 34" xfId="5179"/>
    <cellStyle name="60% - akcent 1 2 35" xfId="5180"/>
    <cellStyle name="60% - akcent 1 2 36" xfId="5181"/>
    <cellStyle name="60% - akcent 1 2 37" xfId="5182"/>
    <cellStyle name="60% - akcent 1 2 38" xfId="5183"/>
    <cellStyle name="60% - akcent 1 2 39" xfId="5184"/>
    <cellStyle name="60% - akcent 1 2 4" xfId="5185"/>
    <cellStyle name="60% - akcent 1 2 4 2" xfId="5186"/>
    <cellStyle name="60% - akcent 1 2 4 3" xfId="5187"/>
    <cellStyle name="60% - akcent 1 2 4 4" xfId="5188"/>
    <cellStyle name="60% - akcent 1 2 4 5" xfId="5189"/>
    <cellStyle name="60% - akcent 1 2 4 6" xfId="5190"/>
    <cellStyle name="60% - akcent 1 2 40" xfId="5191"/>
    <cellStyle name="60% - akcent 1 2 41" xfId="5192"/>
    <cellStyle name="60% - akcent 1 2 42" xfId="5193"/>
    <cellStyle name="60% - akcent 1 2 43" xfId="5194"/>
    <cellStyle name="60% - akcent 1 2 44" xfId="5195"/>
    <cellStyle name="60% - akcent 1 2 45" xfId="5196"/>
    <cellStyle name="60% - akcent 1 2 46" xfId="5197"/>
    <cellStyle name="60% - akcent 1 2 47" xfId="5198"/>
    <cellStyle name="60% - akcent 1 2 48" xfId="5199"/>
    <cellStyle name="60% - akcent 1 2 49" xfId="5200"/>
    <cellStyle name="60% - akcent 1 2 5" xfId="5201"/>
    <cellStyle name="60% - akcent 1 2 5 2" xfId="5202"/>
    <cellStyle name="60% - akcent 1 2 5 3" xfId="5203"/>
    <cellStyle name="60% - akcent 1 2 5 4" xfId="5204"/>
    <cellStyle name="60% - akcent 1 2 5 5" xfId="5205"/>
    <cellStyle name="60% - akcent 1 2 5 6" xfId="5206"/>
    <cellStyle name="60% - akcent 1 2 50" xfId="5207"/>
    <cellStyle name="60% - akcent 1 2 51" xfId="5208"/>
    <cellStyle name="60% - akcent 1 2 52" xfId="5209"/>
    <cellStyle name="60% - akcent 1 2 6" xfId="5210"/>
    <cellStyle name="60% - akcent 1 2 6 2" xfId="5211"/>
    <cellStyle name="60% - akcent 1 2 6 3" xfId="5212"/>
    <cellStyle name="60% - akcent 1 2 6 4" xfId="5213"/>
    <cellStyle name="60% - akcent 1 2 6 5" xfId="5214"/>
    <cellStyle name="60% - akcent 1 2 6 6" xfId="5215"/>
    <cellStyle name="60% - akcent 1 2 7" xfId="5216"/>
    <cellStyle name="60% - akcent 1 2 7 2" xfId="5217"/>
    <cellStyle name="60% - akcent 1 2 7 3" xfId="5218"/>
    <cellStyle name="60% - akcent 1 2 7 4" xfId="5219"/>
    <cellStyle name="60% - akcent 1 2 7 5" xfId="5220"/>
    <cellStyle name="60% - akcent 1 2 7 6" xfId="5221"/>
    <cellStyle name="60% - akcent 1 2 8" xfId="5222"/>
    <cellStyle name="60% - akcent 1 2 8 2" xfId="5223"/>
    <cellStyle name="60% - akcent 1 2 8 3" xfId="5224"/>
    <cellStyle name="60% - akcent 1 2 8 4" xfId="5225"/>
    <cellStyle name="60% - akcent 1 2 8 5" xfId="5226"/>
    <cellStyle name="60% - akcent 1 2 8 6" xfId="5227"/>
    <cellStyle name="60% - akcent 1 2 9" xfId="5228"/>
    <cellStyle name="60% - akcent 1 2 9 2" xfId="5229"/>
    <cellStyle name="60% - akcent 1 2 9 3" xfId="5230"/>
    <cellStyle name="60% - akcent 1 2 9 4" xfId="5231"/>
    <cellStyle name="60% - akcent 1 2 9 5" xfId="5232"/>
    <cellStyle name="60% - akcent 1 2 9 6" xfId="5233"/>
    <cellStyle name="60% - akcent 1 3" xfId="5234"/>
    <cellStyle name="60% - akcent 1 3 2" xfId="5235"/>
    <cellStyle name="60% - akcent 1 3 2 2" xfId="5236"/>
    <cellStyle name="60% - akcent 1 3 3" xfId="5237"/>
    <cellStyle name="60% - akcent 1 3 4" xfId="5238"/>
    <cellStyle name="60% - akcent 1 3 5" xfId="5239"/>
    <cellStyle name="60% - akcent 1 3 6" xfId="5240"/>
    <cellStyle name="60% - akcent 1 3 7" xfId="5241"/>
    <cellStyle name="60% - akcent 1 3 8" xfId="5242"/>
    <cellStyle name="60% - akcent 1 4" xfId="5243"/>
    <cellStyle name="60% - akcent 1 4 2" xfId="5244"/>
    <cellStyle name="60% - akcent 1 4 3" xfId="5245"/>
    <cellStyle name="60% - akcent 1 4 4" xfId="5246"/>
    <cellStyle name="60% - akcent 1 4 5" xfId="5247"/>
    <cellStyle name="60% - akcent 1 4 6" xfId="5248"/>
    <cellStyle name="60% - akcent 1 4 7" xfId="5249"/>
    <cellStyle name="60% - akcent 1 4 8" xfId="5250"/>
    <cellStyle name="60% - akcent 1 5" xfId="5251"/>
    <cellStyle name="60% - akcent 1 5 2" xfId="5252"/>
    <cellStyle name="60% - akcent 1 6" xfId="5253"/>
    <cellStyle name="60% - akcent 1 7" xfId="5254"/>
    <cellStyle name="60% - akcent 2 2" xfId="5255"/>
    <cellStyle name="60% - akcent 2 2 10" xfId="5256"/>
    <cellStyle name="60% - akcent 2 2 10 2" xfId="5257"/>
    <cellStyle name="60% - akcent 2 2 10 3" xfId="5258"/>
    <cellStyle name="60% - akcent 2 2 10 4" xfId="5259"/>
    <cellStyle name="60% - akcent 2 2 10 5" xfId="5260"/>
    <cellStyle name="60% - akcent 2 2 10 6" xfId="5261"/>
    <cellStyle name="60% - akcent 2 2 11" xfId="5262"/>
    <cellStyle name="60% - akcent 2 2 11 2" xfId="5263"/>
    <cellStyle name="60% - akcent 2 2 11 3" xfId="5264"/>
    <cellStyle name="60% - akcent 2 2 11 4" xfId="5265"/>
    <cellStyle name="60% - akcent 2 2 11 5" xfId="5266"/>
    <cellStyle name="60% - akcent 2 2 11 6" xfId="5267"/>
    <cellStyle name="60% - akcent 2 2 12" xfId="5268"/>
    <cellStyle name="60% - akcent 2 2 12 2" xfId="5269"/>
    <cellStyle name="60% - akcent 2 2 12 3" xfId="5270"/>
    <cellStyle name="60% - akcent 2 2 12 4" xfId="5271"/>
    <cellStyle name="60% - akcent 2 2 12 5" xfId="5272"/>
    <cellStyle name="60% - akcent 2 2 12 6" xfId="5273"/>
    <cellStyle name="60% - akcent 2 2 13" xfId="5274"/>
    <cellStyle name="60% - akcent 2 2 13 2" xfId="5275"/>
    <cellStyle name="60% - akcent 2 2 13 3" xfId="5276"/>
    <cellStyle name="60% - akcent 2 2 13 4" xfId="5277"/>
    <cellStyle name="60% - akcent 2 2 13 5" xfId="5278"/>
    <cellStyle name="60% - akcent 2 2 13 6" xfId="5279"/>
    <cellStyle name="60% - akcent 2 2 14" xfId="5280"/>
    <cellStyle name="60% - akcent 2 2 14 2" xfId="5281"/>
    <cellStyle name="60% - akcent 2 2 14 3" xfId="5282"/>
    <cellStyle name="60% - akcent 2 2 14 4" xfId="5283"/>
    <cellStyle name="60% - akcent 2 2 14 5" xfId="5284"/>
    <cellStyle name="60% - akcent 2 2 14 6" xfId="5285"/>
    <cellStyle name="60% - akcent 2 2 15" xfId="5286"/>
    <cellStyle name="60% - akcent 2 2 15 2" xfId="5287"/>
    <cellStyle name="60% - akcent 2 2 15 3" xfId="5288"/>
    <cellStyle name="60% - akcent 2 2 15 4" xfId="5289"/>
    <cellStyle name="60% - akcent 2 2 15 5" xfId="5290"/>
    <cellStyle name="60% - akcent 2 2 15 6" xfId="5291"/>
    <cellStyle name="60% - akcent 2 2 16" xfId="5292"/>
    <cellStyle name="60% - akcent 2 2 16 2" xfId="5293"/>
    <cellStyle name="60% - akcent 2 2 16 3" xfId="5294"/>
    <cellStyle name="60% - akcent 2 2 16 4" xfId="5295"/>
    <cellStyle name="60% - akcent 2 2 16 5" xfId="5296"/>
    <cellStyle name="60% - akcent 2 2 16 6" xfId="5297"/>
    <cellStyle name="60% - akcent 2 2 17" xfId="5298"/>
    <cellStyle name="60% - akcent 2 2 17 2" xfId="5299"/>
    <cellStyle name="60% - akcent 2 2 17 3" xfId="5300"/>
    <cellStyle name="60% - akcent 2 2 17 4" xfId="5301"/>
    <cellStyle name="60% - akcent 2 2 17 5" xfId="5302"/>
    <cellStyle name="60% - akcent 2 2 17 6" xfId="5303"/>
    <cellStyle name="60% - akcent 2 2 18" xfId="5304"/>
    <cellStyle name="60% - akcent 2 2 18 2" xfId="5305"/>
    <cellStyle name="60% - akcent 2 2 18 3" xfId="5306"/>
    <cellStyle name="60% - akcent 2 2 18 4" xfId="5307"/>
    <cellStyle name="60% - akcent 2 2 18 5" xfId="5308"/>
    <cellStyle name="60% - akcent 2 2 18 6" xfId="5309"/>
    <cellStyle name="60% - akcent 2 2 19" xfId="5310"/>
    <cellStyle name="60% - akcent 2 2 19 2" xfId="5311"/>
    <cellStyle name="60% - akcent 2 2 19 3" xfId="5312"/>
    <cellStyle name="60% - akcent 2 2 19 4" xfId="5313"/>
    <cellStyle name="60% - akcent 2 2 19 5" xfId="5314"/>
    <cellStyle name="60% - akcent 2 2 19 6" xfId="5315"/>
    <cellStyle name="60% - akcent 2 2 2" xfId="5316"/>
    <cellStyle name="60% - akcent 2 2 2 2" xfId="5317"/>
    <cellStyle name="60% - akcent 2 2 2 3" xfId="5318"/>
    <cellStyle name="60% - akcent 2 2 2 4" xfId="5319"/>
    <cellStyle name="60% - akcent 2 2 2 5" xfId="5320"/>
    <cellStyle name="60% - akcent 2 2 2 6" xfId="5321"/>
    <cellStyle name="60% - akcent 2 2 2 7" xfId="5322"/>
    <cellStyle name="60% - akcent 2 2 20" xfId="5323"/>
    <cellStyle name="60% - akcent 2 2 20 2" xfId="5324"/>
    <cellStyle name="60% - akcent 2 2 20 3" xfId="5325"/>
    <cellStyle name="60% - akcent 2 2 20 4" xfId="5326"/>
    <cellStyle name="60% - akcent 2 2 20 5" xfId="5327"/>
    <cellStyle name="60% - akcent 2 2 20 6" xfId="5328"/>
    <cellStyle name="60% - akcent 2 2 21" xfId="5329"/>
    <cellStyle name="60% - akcent 2 2 21 2" xfId="5330"/>
    <cellStyle name="60% - akcent 2 2 21 3" xfId="5331"/>
    <cellStyle name="60% - akcent 2 2 21 4" xfId="5332"/>
    <cellStyle name="60% - akcent 2 2 21 5" xfId="5333"/>
    <cellStyle name="60% - akcent 2 2 21 6" xfId="5334"/>
    <cellStyle name="60% - akcent 2 2 22" xfId="5335"/>
    <cellStyle name="60% - akcent 2 2 22 2" xfId="5336"/>
    <cellStyle name="60% - akcent 2 2 22 3" xfId="5337"/>
    <cellStyle name="60% - akcent 2 2 22 4" xfId="5338"/>
    <cellStyle name="60% - akcent 2 2 22 5" xfId="5339"/>
    <cellStyle name="60% - akcent 2 2 22 6" xfId="5340"/>
    <cellStyle name="60% - akcent 2 2 23" xfId="5341"/>
    <cellStyle name="60% - akcent 2 2 23 2" xfId="5342"/>
    <cellStyle name="60% - akcent 2 2 23 3" xfId="5343"/>
    <cellStyle name="60% - akcent 2 2 23 4" xfId="5344"/>
    <cellStyle name="60% - akcent 2 2 23 5" xfId="5345"/>
    <cellStyle name="60% - akcent 2 2 23 6" xfId="5346"/>
    <cellStyle name="60% - akcent 2 2 24" xfId="5347"/>
    <cellStyle name="60% - akcent 2 2 24 2" xfId="5348"/>
    <cellStyle name="60% - akcent 2 2 24 3" xfId="5349"/>
    <cellStyle name="60% - akcent 2 2 24 4" xfId="5350"/>
    <cellStyle name="60% - akcent 2 2 24 5" xfId="5351"/>
    <cellStyle name="60% - akcent 2 2 24 6" xfId="5352"/>
    <cellStyle name="60% - akcent 2 2 25" xfId="5353"/>
    <cellStyle name="60% - akcent 2 2 25 2" xfId="5354"/>
    <cellStyle name="60% - akcent 2 2 25 3" xfId="5355"/>
    <cellStyle name="60% - akcent 2 2 25 4" xfId="5356"/>
    <cellStyle name="60% - akcent 2 2 25 5" xfId="5357"/>
    <cellStyle name="60% - akcent 2 2 25 6" xfId="5358"/>
    <cellStyle name="60% - akcent 2 2 26" xfId="5359"/>
    <cellStyle name="60% - akcent 2 2 26 2" xfId="5360"/>
    <cellStyle name="60% - akcent 2 2 26 3" xfId="5361"/>
    <cellStyle name="60% - akcent 2 2 26 4" xfId="5362"/>
    <cellStyle name="60% - akcent 2 2 26 5" xfId="5363"/>
    <cellStyle name="60% - akcent 2 2 26 6" xfId="5364"/>
    <cellStyle name="60% - akcent 2 2 27" xfId="5365"/>
    <cellStyle name="60% - akcent 2 2 27 2" xfId="5366"/>
    <cellStyle name="60% - akcent 2 2 27 3" xfId="5367"/>
    <cellStyle name="60% - akcent 2 2 27 4" xfId="5368"/>
    <cellStyle name="60% - akcent 2 2 27 5" xfId="5369"/>
    <cellStyle name="60% - akcent 2 2 27 6" xfId="5370"/>
    <cellStyle name="60% - akcent 2 2 28" xfId="5371"/>
    <cellStyle name="60% - akcent 2 2 28 2" xfId="5372"/>
    <cellStyle name="60% - akcent 2 2 28 3" xfId="5373"/>
    <cellStyle name="60% - akcent 2 2 28 4" xfId="5374"/>
    <cellStyle name="60% - akcent 2 2 28 5" xfId="5375"/>
    <cellStyle name="60% - akcent 2 2 28 6" xfId="5376"/>
    <cellStyle name="60% - akcent 2 2 29" xfId="5377"/>
    <cellStyle name="60% - akcent 2 2 29 2" xfId="5378"/>
    <cellStyle name="60% - akcent 2 2 3" xfId="5379"/>
    <cellStyle name="60% - akcent 2 2 3 2" xfId="5380"/>
    <cellStyle name="60% - akcent 2 2 3 3" xfId="5381"/>
    <cellStyle name="60% - akcent 2 2 3 4" xfId="5382"/>
    <cellStyle name="60% - akcent 2 2 3 5" xfId="5383"/>
    <cellStyle name="60% - akcent 2 2 3 6" xfId="5384"/>
    <cellStyle name="60% - akcent 2 2 30" xfId="5385"/>
    <cellStyle name="60% - akcent 2 2 30 2" xfId="5386"/>
    <cellStyle name="60% - akcent 2 2 31" xfId="5387"/>
    <cellStyle name="60% - akcent 2 2 31 2" xfId="5388"/>
    <cellStyle name="60% - akcent 2 2 32" xfId="5389"/>
    <cellStyle name="60% - akcent 2 2 32 2" xfId="5390"/>
    <cellStyle name="60% - akcent 2 2 33" xfId="5391"/>
    <cellStyle name="60% - akcent 2 2 34" xfId="5392"/>
    <cellStyle name="60% - akcent 2 2 35" xfId="5393"/>
    <cellStyle name="60% - akcent 2 2 36" xfId="5394"/>
    <cellStyle name="60% - akcent 2 2 37" xfId="5395"/>
    <cellStyle name="60% - akcent 2 2 38" xfId="5396"/>
    <cellStyle name="60% - akcent 2 2 39" xfId="5397"/>
    <cellStyle name="60% - akcent 2 2 4" xfId="5398"/>
    <cellStyle name="60% - akcent 2 2 4 2" xfId="5399"/>
    <cellStyle name="60% - akcent 2 2 4 3" xfId="5400"/>
    <cellStyle name="60% - akcent 2 2 4 4" xfId="5401"/>
    <cellStyle name="60% - akcent 2 2 4 5" xfId="5402"/>
    <cellStyle name="60% - akcent 2 2 4 6" xfId="5403"/>
    <cellStyle name="60% - akcent 2 2 40" xfId="5404"/>
    <cellStyle name="60% - akcent 2 2 41" xfId="5405"/>
    <cellStyle name="60% - akcent 2 2 42" xfId="5406"/>
    <cellStyle name="60% - akcent 2 2 43" xfId="5407"/>
    <cellStyle name="60% - akcent 2 2 44" xfId="5408"/>
    <cellStyle name="60% - akcent 2 2 45" xfId="5409"/>
    <cellStyle name="60% - akcent 2 2 46" xfId="5410"/>
    <cellStyle name="60% - akcent 2 2 47" xfId="5411"/>
    <cellStyle name="60% - akcent 2 2 48" xfId="5412"/>
    <cellStyle name="60% - akcent 2 2 49" xfId="5413"/>
    <cellStyle name="60% - akcent 2 2 5" xfId="5414"/>
    <cellStyle name="60% - akcent 2 2 5 2" xfId="5415"/>
    <cellStyle name="60% - akcent 2 2 5 3" xfId="5416"/>
    <cellStyle name="60% - akcent 2 2 5 4" xfId="5417"/>
    <cellStyle name="60% - akcent 2 2 5 5" xfId="5418"/>
    <cellStyle name="60% - akcent 2 2 5 6" xfId="5419"/>
    <cellStyle name="60% - akcent 2 2 50" xfId="5420"/>
    <cellStyle name="60% - akcent 2 2 51" xfId="5421"/>
    <cellStyle name="60% - akcent 2 2 52" xfId="5422"/>
    <cellStyle name="60% - akcent 2 2 6" xfId="5423"/>
    <cellStyle name="60% - akcent 2 2 6 2" xfId="5424"/>
    <cellStyle name="60% - akcent 2 2 6 3" xfId="5425"/>
    <cellStyle name="60% - akcent 2 2 6 4" xfId="5426"/>
    <cellStyle name="60% - akcent 2 2 6 5" xfId="5427"/>
    <cellStyle name="60% - akcent 2 2 6 6" xfId="5428"/>
    <cellStyle name="60% - akcent 2 2 7" xfId="5429"/>
    <cellStyle name="60% - akcent 2 2 7 2" xfId="5430"/>
    <cellStyle name="60% - akcent 2 2 7 3" xfId="5431"/>
    <cellStyle name="60% - akcent 2 2 7 4" xfId="5432"/>
    <cellStyle name="60% - akcent 2 2 7 5" xfId="5433"/>
    <cellStyle name="60% - akcent 2 2 7 6" xfId="5434"/>
    <cellStyle name="60% - akcent 2 2 8" xfId="5435"/>
    <cellStyle name="60% - akcent 2 2 8 2" xfId="5436"/>
    <cellStyle name="60% - akcent 2 2 8 3" xfId="5437"/>
    <cellStyle name="60% - akcent 2 2 8 4" xfId="5438"/>
    <cellStyle name="60% - akcent 2 2 8 5" xfId="5439"/>
    <cellStyle name="60% - akcent 2 2 8 6" xfId="5440"/>
    <cellStyle name="60% - akcent 2 2 9" xfId="5441"/>
    <cellStyle name="60% - akcent 2 2 9 2" xfId="5442"/>
    <cellStyle name="60% - akcent 2 2 9 3" xfId="5443"/>
    <cellStyle name="60% - akcent 2 2 9 4" xfId="5444"/>
    <cellStyle name="60% - akcent 2 2 9 5" xfId="5445"/>
    <cellStyle name="60% - akcent 2 2 9 6" xfId="5446"/>
    <cellStyle name="60% - akcent 2 3" xfId="5447"/>
    <cellStyle name="60% - akcent 2 3 2" xfId="5448"/>
    <cellStyle name="60% - akcent 2 3 2 2" xfId="5449"/>
    <cellStyle name="60% - akcent 2 3 3" xfId="5450"/>
    <cellStyle name="60% - akcent 2 3 4" xfId="5451"/>
    <cellStyle name="60% - akcent 2 3 5" xfId="5452"/>
    <cellStyle name="60% - akcent 2 3 6" xfId="5453"/>
    <cellStyle name="60% - akcent 2 3 7" xfId="5454"/>
    <cellStyle name="60% - akcent 2 3 8" xfId="5455"/>
    <cellStyle name="60% - akcent 2 4" xfId="5456"/>
    <cellStyle name="60% - akcent 2 4 2" xfId="5457"/>
    <cellStyle name="60% - akcent 2 4 3" xfId="5458"/>
    <cellStyle name="60% - akcent 2 4 4" xfId="5459"/>
    <cellStyle name="60% - akcent 2 4 5" xfId="5460"/>
    <cellStyle name="60% - akcent 2 4 6" xfId="5461"/>
    <cellStyle name="60% - akcent 2 4 7" xfId="5462"/>
    <cellStyle name="60% - akcent 2 4 8" xfId="5463"/>
    <cellStyle name="60% - akcent 2 5" xfId="5464"/>
    <cellStyle name="60% - akcent 2 5 2" xfId="5465"/>
    <cellStyle name="60% - akcent 2 6" xfId="5466"/>
    <cellStyle name="60% - akcent 2 7" xfId="5467"/>
    <cellStyle name="60% - akcent 3 2" xfId="5468"/>
    <cellStyle name="60% - akcent 3 2 10" xfId="5469"/>
    <cellStyle name="60% - akcent 3 2 10 2" xfId="5470"/>
    <cellStyle name="60% - akcent 3 2 10 3" xfId="5471"/>
    <cellStyle name="60% - akcent 3 2 10 4" xfId="5472"/>
    <cellStyle name="60% - akcent 3 2 10 5" xfId="5473"/>
    <cellStyle name="60% - akcent 3 2 10 6" xfId="5474"/>
    <cellStyle name="60% - akcent 3 2 11" xfId="5475"/>
    <cellStyle name="60% - akcent 3 2 11 2" xfId="5476"/>
    <cellStyle name="60% - akcent 3 2 11 3" xfId="5477"/>
    <cellStyle name="60% - akcent 3 2 11 4" xfId="5478"/>
    <cellStyle name="60% - akcent 3 2 11 5" xfId="5479"/>
    <cellStyle name="60% - akcent 3 2 11 6" xfId="5480"/>
    <cellStyle name="60% - akcent 3 2 12" xfId="5481"/>
    <cellStyle name="60% - akcent 3 2 12 2" xfId="5482"/>
    <cellStyle name="60% - akcent 3 2 12 3" xfId="5483"/>
    <cellStyle name="60% - akcent 3 2 12 4" xfId="5484"/>
    <cellStyle name="60% - akcent 3 2 12 5" xfId="5485"/>
    <cellStyle name="60% - akcent 3 2 12 6" xfId="5486"/>
    <cellStyle name="60% - akcent 3 2 13" xfId="5487"/>
    <cellStyle name="60% - akcent 3 2 13 2" xfId="5488"/>
    <cellStyle name="60% - akcent 3 2 13 3" xfId="5489"/>
    <cellStyle name="60% - akcent 3 2 13 4" xfId="5490"/>
    <cellStyle name="60% - akcent 3 2 13 5" xfId="5491"/>
    <cellStyle name="60% - akcent 3 2 13 6" xfId="5492"/>
    <cellStyle name="60% - akcent 3 2 14" xfId="5493"/>
    <cellStyle name="60% - akcent 3 2 14 2" xfId="5494"/>
    <cellStyle name="60% - akcent 3 2 14 3" xfId="5495"/>
    <cellStyle name="60% - akcent 3 2 14 4" xfId="5496"/>
    <cellStyle name="60% - akcent 3 2 14 5" xfId="5497"/>
    <cellStyle name="60% - akcent 3 2 14 6" xfId="5498"/>
    <cellStyle name="60% - akcent 3 2 15" xfId="5499"/>
    <cellStyle name="60% - akcent 3 2 15 2" xfId="5500"/>
    <cellStyle name="60% - akcent 3 2 15 3" xfId="5501"/>
    <cellStyle name="60% - akcent 3 2 15 4" xfId="5502"/>
    <cellStyle name="60% - akcent 3 2 15 5" xfId="5503"/>
    <cellStyle name="60% - akcent 3 2 15 6" xfId="5504"/>
    <cellStyle name="60% - akcent 3 2 16" xfId="5505"/>
    <cellStyle name="60% - akcent 3 2 16 2" xfId="5506"/>
    <cellStyle name="60% - akcent 3 2 16 3" xfId="5507"/>
    <cellStyle name="60% - akcent 3 2 16 4" xfId="5508"/>
    <cellStyle name="60% - akcent 3 2 16 5" xfId="5509"/>
    <cellStyle name="60% - akcent 3 2 16 6" xfId="5510"/>
    <cellStyle name="60% - akcent 3 2 17" xfId="5511"/>
    <cellStyle name="60% - akcent 3 2 17 2" xfId="5512"/>
    <cellStyle name="60% - akcent 3 2 17 3" xfId="5513"/>
    <cellStyle name="60% - akcent 3 2 17 4" xfId="5514"/>
    <cellStyle name="60% - akcent 3 2 17 5" xfId="5515"/>
    <cellStyle name="60% - akcent 3 2 17 6" xfId="5516"/>
    <cellStyle name="60% - akcent 3 2 18" xfId="5517"/>
    <cellStyle name="60% - akcent 3 2 18 2" xfId="5518"/>
    <cellStyle name="60% - akcent 3 2 18 3" xfId="5519"/>
    <cellStyle name="60% - akcent 3 2 18 4" xfId="5520"/>
    <cellStyle name="60% - akcent 3 2 18 5" xfId="5521"/>
    <cellStyle name="60% - akcent 3 2 18 6" xfId="5522"/>
    <cellStyle name="60% - akcent 3 2 19" xfId="5523"/>
    <cellStyle name="60% - akcent 3 2 19 2" xfId="5524"/>
    <cellStyle name="60% - akcent 3 2 19 3" xfId="5525"/>
    <cellStyle name="60% - akcent 3 2 19 4" xfId="5526"/>
    <cellStyle name="60% - akcent 3 2 19 5" xfId="5527"/>
    <cellStyle name="60% - akcent 3 2 19 6" xfId="5528"/>
    <cellStyle name="60% - akcent 3 2 2" xfId="5529"/>
    <cellStyle name="60% - akcent 3 2 2 2" xfId="5530"/>
    <cellStyle name="60% - akcent 3 2 2 3" xfId="5531"/>
    <cellStyle name="60% - akcent 3 2 2 4" xfId="5532"/>
    <cellStyle name="60% - akcent 3 2 2 5" xfId="5533"/>
    <cellStyle name="60% - akcent 3 2 2 6" xfId="5534"/>
    <cellStyle name="60% - akcent 3 2 2 7" xfId="5535"/>
    <cellStyle name="60% - akcent 3 2 20" xfId="5536"/>
    <cellStyle name="60% - akcent 3 2 20 2" xfId="5537"/>
    <cellStyle name="60% - akcent 3 2 20 3" xfId="5538"/>
    <cellStyle name="60% - akcent 3 2 20 4" xfId="5539"/>
    <cellStyle name="60% - akcent 3 2 20 5" xfId="5540"/>
    <cellStyle name="60% - akcent 3 2 20 6" xfId="5541"/>
    <cellStyle name="60% - akcent 3 2 21" xfId="5542"/>
    <cellStyle name="60% - akcent 3 2 21 2" xfId="5543"/>
    <cellStyle name="60% - akcent 3 2 21 3" xfId="5544"/>
    <cellStyle name="60% - akcent 3 2 21 4" xfId="5545"/>
    <cellStyle name="60% - akcent 3 2 21 5" xfId="5546"/>
    <cellStyle name="60% - akcent 3 2 21 6" xfId="5547"/>
    <cellStyle name="60% - akcent 3 2 22" xfId="5548"/>
    <cellStyle name="60% - akcent 3 2 22 2" xfId="5549"/>
    <cellStyle name="60% - akcent 3 2 22 3" xfId="5550"/>
    <cellStyle name="60% - akcent 3 2 22 4" xfId="5551"/>
    <cellStyle name="60% - akcent 3 2 22 5" xfId="5552"/>
    <cellStyle name="60% - akcent 3 2 22 6" xfId="5553"/>
    <cellStyle name="60% - akcent 3 2 23" xfId="5554"/>
    <cellStyle name="60% - akcent 3 2 23 2" xfId="5555"/>
    <cellStyle name="60% - akcent 3 2 23 3" xfId="5556"/>
    <cellStyle name="60% - akcent 3 2 23 4" xfId="5557"/>
    <cellStyle name="60% - akcent 3 2 23 5" xfId="5558"/>
    <cellStyle name="60% - akcent 3 2 23 6" xfId="5559"/>
    <cellStyle name="60% - akcent 3 2 24" xfId="5560"/>
    <cellStyle name="60% - akcent 3 2 24 2" xfId="5561"/>
    <cellStyle name="60% - akcent 3 2 24 3" xfId="5562"/>
    <cellStyle name="60% - akcent 3 2 24 4" xfId="5563"/>
    <cellStyle name="60% - akcent 3 2 24 5" xfId="5564"/>
    <cellStyle name="60% - akcent 3 2 24 6" xfId="5565"/>
    <cellStyle name="60% - akcent 3 2 25" xfId="5566"/>
    <cellStyle name="60% - akcent 3 2 25 2" xfId="5567"/>
    <cellStyle name="60% - akcent 3 2 25 3" xfId="5568"/>
    <cellStyle name="60% - akcent 3 2 25 4" xfId="5569"/>
    <cellStyle name="60% - akcent 3 2 25 5" xfId="5570"/>
    <cellStyle name="60% - akcent 3 2 25 6" xfId="5571"/>
    <cellStyle name="60% - akcent 3 2 26" xfId="5572"/>
    <cellStyle name="60% - akcent 3 2 26 2" xfId="5573"/>
    <cellStyle name="60% - akcent 3 2 26 3" xfId="5574"/>
    <cellStyle name="60% - akcent 3 2 26 4" xfId="5575"/>
    <cellStyle name="60% - akcent 3 2 26 5" xfId="5576"/>
    <cellStyle name="60% - akcent 3 2 26 6" xfId="5577"/>
    <cellStyle name="60% - akcent 3 2 27" xfId="5578"/>
    <cellStyle name="60% - akcent 3 2 27 2" xfId="5579"/>
    <cellStyle name="60% - akcent 3 2 27 3" xfId="5580"/>
    <cellStyle name="60% - akcent 3 2 27 4" xfId="5581"/>
    <cellStyle name="60% - akcent 3 2 27 5" xfId="5582"/>
    <cellStyle name="60% - akcent 3 2 27 6" xfId="5583"/>
    <cellStyle name="60% - akcent 3 2 28" xfId="5584"/>
    <cellStyle name="60% - akcent 3 2 28 2" xfId="5585"/>
    <cellStyle name="60% - akcent 3 2 28 3" xfId="5586"/>
    <cellStyle name="60% - akcent 3 2 28 4" xfId="5587"/>
    <cellStyle name="60% - akcent 3 2 28 5" xfId="5588"/>
    <cellStyle name="60% - akcent 3 2 28 6" xfId="5589"/>
    <cellStyle name="60% - akcent 3 2 29" xfId="5590"/>
    <cellStyle name="60% - akcent 3 2 29 2" xfId="5591"/>
    <cellStyle name="60% - akcent 3 2 3" xfId="5592"/>
    <cellStyle name="60% - akcent 3 2 3 2" xfId="5593"/>
    <cellStyle name="60% - akcent 3 2 3 3" xfId="5594"/>
    <cellStyle name="60% - akcent 3 2 3 4" xfId="5595"/>
    <cellStyle name="60% - akcent 3 2 3 5" xfId="5596"/>
    <cellStyle name="60% - akcent 3 2 3 6" xfId="5597"/>
    <cellStyle name="60% - akcent 3 2 30" xfId="5598"/>
    <cellStyle name="60% - akcent 3 2 30 2" xfId="5599"/>
    <cellStyle name="60% - akcent 3 2 31" xfId="5600"/>
    <cellStyle name="60% - akcent 3 2 31 2" xfId="5601"/>
    <cellStyle name="60% - akcent 3 2 32" xfId="5602"/>
    <cellStyle name="60% - akcent 3 2 32 2" xfId="5603"/>
    <cellStyle name="60% - akcent 3 2 33" xfId="5604"/>
    <cellStyle name="60% - akcent 3 2 34" xfId="5605"/>
    <cellStyle name="60% - akcent 3 2 35" xfId="5606"/>
    <cellStyle name="60% - akcent 3 2 36" xfId="5607"/>
    <cellStyle name="60% - akcent 3 2 37" xfId="5608"/>
    <cellStyle name="60% - akcent 3 2 38" xfId="5609"/>
    <cellStyle name="60% - akcent 3 2 39" xfId="5610"/>
    <cellStyle name="60% - akcent 3 2 4" xfId="5611"/>
    <cellStyle name="60% - akcent 3 2 4 2" xfId="5612"/>
    <cellStyle name="60% - akcent 3 2 4 3" xfId="5613"/>
    <cellStyle name="60% - akcent 3 2 4 4" xfId="5614"/>
    <cellStyle name="60% - akcent 3 2 4 5" xfId="5615"/>
    <cellStyle name="60% - akcent 3 2 4 6" xfId="5616"/>
    <cellStyle name="60% - akcent 3 2 40" xfId="5617"/>
    <cellStyle name="60% - akcent 3 2 41" xfId="5618"/>
    <cellStyle name="60% - akcent 3 2 42" xfId="5619"/>
    <cellStyle name="60% - akcent 3 2 43" xfId="5620"/>
    <cellStyle name="60% - akcent 3 2 44" xfId="5621"/>
    <cellStyle name="60% - akcent 3 2 45" xfId="5622"/>
    <cellStyle name="60% - akcent 3 2 46" xfId="5623"/>
    <cellStyle name="60% - akcent 3 2 47" xfId="5624"/>
    <cellStyle name="60% - akcent 3 2 48" xfId="5625"/>
    <cellStyle name="60% - akcent 3 2 49" xfId="5626"/>
    <cellStyle name="60% - akcent 3 2 5" xfId="5627"/>
    <cellStyle name="60% - akcent 3 2 5 2" xfId="5628"/>
    <cellStyle name="60% - akcent 3 2 5 3" xfId="5629"/>
    <cellStyle name="60% - akcent 3 2 5 4" xfId="5630"/>
    <cellStyle name="60% - akcent 3 2 5 5" xfId="5631"/>
    <cellStyle name="60% - akcent 3 2 5 6" xfId="5632"/>
    <cellStyle name="60% - akcent 3 2 50" xfId="5633"/>
    <cellStyle name="60% - akcent 3 2 51" xfId="5634"/>
    <cellStyle name="60% - akcent 3 2 52" xfId="5635"/>
    <cellStyle name="60% - akcent 3 2 6" xfId="5636"/>
    <cellStyle name="60% - akcent 3 2 6 2" xfId="5637"/>
    <cellStyle name="60% - akcent 3 2 6 3" xfId="5638"/>
    <cellStyle name="60% - akcent 3 2 6 4" xfId="5639"/>
    <cellStyle name="60% - akcent 3 2 6 5" xfId="5640"/>
    <cellStyle name="60% - akcent 3 2 6 6" xfId="5641"/>
    <cellStyle name="60% - akcent 3 2 7" xfId="5642"/>
    <cellStyle name="60% - akcent 3 2 7 2" xfId="5643"/>
    <cellStyle name="60% - akcent 3 2 7 3" xfId="5644"/>
    <cellStyle name="60% - akcent 3 2 7 4" xfId="5645"/>
    <cellStyle name="60% - akcent 3 2 7 5" xfId="5646"/>
    <cellStyle name="60% - akcent 3 2 7 6" xfId="5647"/>
    <cellStyle name="60% - akcent 3 2 8" xfId="5648"/>
    <cellStyle name="60% - akcent 3 2 8 2" xfId="5649"/>
    <cellStyle name="60% - akcent 3 2 8 3" xfId="5650"/>
    <cellStyle name="60% - akcent 3 2 8 4" xfId="5651"/>
    <cellStyle name="60% - akcent 3 2 8 5" xfId="5652"/>
    <cellStyle name="60% - akcent 3 2 8 6" xfId="5653"/>
    <cellStyle name="60% - akcent 3 2 9" xfId="5654"/>
    <cellStyle name="60% - akcent 3 2 9 2" xfId="5655"/>
    <cellStyle name="60% - akcent 3 2 9 3" xfId="5656"/>
    <cellStyle name="60% - akcent 3 2 9 4" xfId="5657"/>
    <cellStyle name="60% - akcent 3 2 9 5" xfId="5658"/>
    <cellStyle name="60% - akcent 3 2 9 6" xfId="5659"/>
    <cellStyle name="60% - akcent 3 3" xfId="5660"/>
    <cellStyle name="60% - akcent 3 3 2" xfId="5661"/>
    <cellStyle name="60% - akcent 3 3 2 2" xfId="5662"/>
    <cellStyle name="60% - akcent 3 3 3" xfId="5663"/>
    <cellStyle name="60% - akcent 3 3 4" xfId="5664"/>
    <cellStyle name="60% - akcent 3 3 5" xfId="5665"/>
    <cellStyle name="60% - akcent 3 3 6" xfId="5666"/>
    <cellStyle name="60% - akcent 3 3 7" xfId="5667"/>
    <cellStyle name="60% - akcent 3 3 8" xfId="5668"/>
    <cellStyle name="60% - akcent 3 4" xfId="5669"/>
    <cellStyle name="60% - akcent 3 4 2" xfId="5670"/>
    <cellStyle name="60% - akcent 3 4 3" xfId="5671"/>
    <cellStyle name="60% - akcent 3 4 4" xfId="5672"/>
    <cellStyle name="60% - akcent 3 4 5" xfId="5673"/>
    <cellStyle name="60% - akcent 3 4 6" xfId="5674"/>
    <cellStyle name="60% - akcent 3 4 7" xfId="5675"/>
    <cellStyle name="60% - akcent 3 4 8" xfId="5676"/>
    <cellStyle name="60% - akcent 3 5" xfId="5677"/>
    <cellStyle name="60% - akcent 3 5 2" xfId="5678"/>
    <cellStyle name="60% - akcent 3 6" xfId="5679"/>
    <cellStyle name="60% - akcent 3 7" xfId="5680"/>
    <cellStyle name="60% - akcent 4 2" xfId="5681"/>
    <cellStyle name="60% - akcent 4 2 10" xfId="5682"/>
    <cellStyle name="60% - akcent 4 2 10 2" xfId="5683"/>
    <cellStyle name="60% - akcent 4 2 10 3" xfId="5684"/>
    <cellStyle name="60% - akcent 4 2 10 4" xfId="5685"/>
    <cellStyle name="60% - akcent 4 2 10 5" xfId="5686"/>
    <cellStyle name="60% - akcent 4 2 10 6" xfId="5687"/>
    <cellStyle name="60% - akcent 4 2 11" xfId="5688"/>
    <cellStyle name="60% - akcent 4 2 11 2" xfId="5689"/>
    <cellStyle name="60% - akcent 4 2 11 3" xfId="5690"/>
    <cellStyle name="60% - akcent 4 2 11 4" xfId="5691"/>
    <cellStyle name="60% - akcent 4 2 11 5" xfId="5692"/>
    <cellStyle name="60% - akcent 4 2 11 6" xfId="5693"/>
    <cellStyle name="60% - akcent 4 2 12" xfId="5694"/>
    <cellStyle name="60% - akcent 4 2 12 2" xfId="5695"/>
    <cellStyle name="60% - akcent 4 2 12 3" xfId="5696"/>
    <cellStyle name="60% - akcent 4 2 12 4" xfId="5697"/>
    <cellStyle name="60% - akcent 4 2 12 5" xfId="5698"/>
    <cellStyle name="60% - akcent 4 2 12 6" xfId="5699"/>
    <cellStyle name="60% - akcent 4 2 13" xfId="5700"/>
    <cellStyle name="60% - akcent 4 2 13 2" xfId="5701"/>
    <cellStyle name="60% - akcent 4 2 13 3" xfId="5702"/>
    <cellStyle name="60% - akcent 4 2 13 4" xfId="5703"/>
    <cellStyle name="60% - akcent 4 2 13 5" xfId="5704"/>
    <cellStyle name="60% - akcent 4 2 13 6" xfId="5705"/>
    <cellStyle name="60% - akcent 4 2 14" xfId="5706"/>
    <cellStyle name="60% - akcent 4 2 14 2" xfId="5707"/>
    <cellStyle name="60% - akcent 4 2 14 3" xfId="5708"/>
    <cellStyle name="60% - akcent 4 2 14 4" xfId="5709"/>
    <cellStyle name="60% - akcent 4 2 14 5" xfId="5710"/>
    <cellStyle name="60% - akcent 4 2 14 6" xfId="5711"/>
    <cellStyle name="60% - akcent 4 2 15" xfId="5712"/>
    <cellStyle name="60% - akcent 4 2 15 2" xfId="5713"/>
    <cellStyle name="60% - akcent 4 2 15 3" xfId="5714"/>
    <cellStyle name="60% - akcent 4 2 15 4" xfId="5715"/>
    <cellStyle name="60% - akcent 4 2 15 5" xfId="5716"/>
    <cellStyle name="60% - akcent 4 2 15 6" xfId="5717"/>
    <cellStyle name="60% - akcent 4 2 16" xfId="5718"/>
    <cellStyle name="60% - akcent 4 2 16 2" xfId="5719"/>
    <cellStyle name="60% - akcent 4 2 16 3" xfId="5720"/>
    <cellStyle name="60% - akcent 4 2 16 4" xfId="5721"/>
    <cellStyle name="60% - akcent 4 2 16 5" xfId="5722"/>
    <cellStyle name="60% - akcent 4 2 16 6" xfId="5723"/>
    <cellStyle name="60% - akcent 4 2 17" xfId="5724"/>
    <cellStyle name="60% - akcent 4 2 17 2" xfId="5725"/>
    <cellStyle name="60% - akcent 4 2 17 3" xfId="5726"/>
    <cellStyle name="60% - akcent 4 2 17 4" xfId="5727"/>
    <cellStyle name="60% - akcent 4 2 17 5" xfId="5728"/>
    <cellStyle name="60% - akcent 4 2 17 6" xfId="5729"/>
    <cellStyle name="60% - akcent 4 2 18" xfId="5730"/>
    <cellStyle name="60% - akcent 4 2 18 2" xfId="5731"/>
    <cellStyle name="60% - akcent 4 2 18 3" xfId="5732"/>
    <cellStyle name="60% - akcent 4 2 18 4" xfId="5733"/>
    <cellStyle name="60% - akcent 4 2 18 5" xfId="5734"/>
    <cellStyle name="60% - akcent 4 2 18 6" xfId="5735"/>
    <cellStyle name="60% - akcent 4 2 19" xfId="5736"/>
    <cellStyle name="60% - akcent 4 2 19 2" xfId="5737"/>
    <cellStyle name="60% - akcent 4 2 19 3" xfId="5738"/>
    <cellStyle name="60% - akcent 4 2 19 4" xfId="5739"/>
    <cellStyle name="60% - akcent 4 2 19 5" xfId="5740"/>
    <cellStyle name="60% - akcent 4 2 19 6" xfId="5741"/>
    <cellStyle name="60% - akcent 4 2 2" xfId="5742"/>
    <cellStyle name="60% - akcent 4 2 2 2" xfId="5743"/>
    <cellStyle name="60% - akcent 4 2 2 3" xfId="5744"/>
    <cellStyle name="60% - akcent 4 2 2 4" xfId="5745"/>
    <cellStyle name="60% - akcent 4 2 2 5" xfId="5746"/>
    <cellStyle name="60% - akcent 4 2 2 6" xfId="5747"/>
    <cellStyle name="60% - akcent 4 2 2 7" xfId="5748"/>
    <cellStyle name="60% - akcent 4 2 20" xfId="5749"/>
    <cellStyle name="60% - akcent 4 2 20 2" xfId="5750"/>
    <cellStyle name="60% - akcent 4 2 20 3" xfId="5751"/>
    <cellStyle name="60% - akcent 4 2 20 4" xfId="5752"/>
    <cellStyle name="60% - akcent 4 2 20 5" xfId="5753"/>
    <cellStyle name="60% - akcent 4 2 20 6" xfId="5754"/>
    <cellStyle name="60% - akcent 4 2 21" xfId="5755"/>
    <cellStyle name="60% - akcent 4 2 21 2" xfId="5756"/>
    <cellStyle name="60% - akcent 4 2 21 3" xfId="5757"/>
    <cellStyle name="60% - akcent 4 2 21 4" xfId="5758"/>
    <cellStyle name="60% - akcent 4 2 21 5" xfId="5759"/>
    <cellStyle name="60% - akcent 4 2 21 6" xfId="5760"/>
    <cellStyle name="60% - akcent 4 2 22" xfId="5761"/>
    <cellStyle name="60% - akcent 4 2 22 2" xfId="5762"/>
    <cellStyle name="60% - akcent 4 2 22 3" xfId="5763"/>
    <cellStyle name="60% - akcent 4 2 22 4" xfId="5764"/>
    <cellStyle name="60% - akcent 4 2 22 5" xfId="5765"/>
    <cellStyle name="60% - akcent 4 2 22 6" xfId="5766"/>
    <cellStyle name="60% - akcent 4 2 23" xfId="5767"/>
    <cellStyle name="60% - akcent 4 2 23 2" xfId="5768"/>
    <cellStyle name="60% - akcent 4 2 23 3" xfId="5769"/>
    <cellStyle name="60% - akcent 4 2 23 4" xfId="5770"/>
    <cellStyle name="60% - akcent 4 2 23 5" xfId="5771"/>
    <cellStyle name="60% - akcent 4 2 23 6" xfId="5772"/>
    <cellStyle name="60% - akcent 4 2 24" xfId="5773"/>
    <cellStyle name="60% - akcent 4 2 24 2" xfId="5774"/>
    <cellStyle name="60% - akcent 4 2 24 3" xfId="5775"/>
    <cellStyle name="60% - akcent 4 2 24 4" xfId="5776"/>
    <cellStyle name="60% - akcent 4 2 24 5" xfId="5777"/>
    <cellStyle name="60% - akcent 4 2 24 6" xfId="5778"/>
    <cellStyle name="60% - akcent 4 2 25" xfId="5779"/>
    <cellStyle name="60% - akcent 4 2 25 2" xfId="5780"/>
    <cellStyle name="60% - akcent 4 2 25 3" xfId="5781"/>
    <cellStyle name="60% - akcent 4 2 25 4" xfId="5782"/>
    <cellStyle name="60% - akcent 4 2 25 5" xfId="5783"/>
    <cellStyle name="60% - akcent 4 2 25 6" xfId="5784"/>
    <cellStyle name="60% - akcent 4 2 26" xfId="5785"/>
    <cellStyle name="60% - akcent 4 2 26 2" xfId="5786"/>
    <cellStyle name="60% - akcent 4 2 26 3" xfId="5787"/>
    <cellStyle name="60% - akcent 4 2 26 4" xfId="5788"/>
    <cellStyle name="60% - akcent 4 2 26 5" xfId="5789"/>
    <cellStyle name="60% - akcent 4 2 26 6" xfId="5790"/>
    <cellStyle name="60% - akcent 4 2 27" xfId="5791"/>
    <cellStyle name="60% - akcent 4 2 27 2" xfId="5792"/>
    <cellStyle name="60% - akcent 4 2 27 3" xfId="5793"/>
    <cellStyle name="60% - akcent 4 2 27 4" xfId="5794"/>
    <cellStyle name="60% - akcent 4 2 27 5" xfId="5795"/>
    <cellStyle name="60% - akcent 4 2 27 6" xfId="5796"/>
    <cellStyle name="60% - akcent 4 2 28" xfId="5797"/>
    <cellStyle name="60% - akcent 4 2 28 2" xfId="5798"/>
    <cellStyle name="60% - akcent 4 2 28 3" xfId="5799"/>
    <cellStyle name="60% - akcent 4 2 28 4" xfId="5800"/>
    <cellStyle name="60% - akcent 4 2 28 5" xfId="5801"/>
    <cellStyle name="60% - akcent 4 2 28 6" xfId="5802"/>
    <cellStyle name="60% - akcent 4 2 29" xfId="5803"/>
    <cellStyle name="60% - akcent 4 2 29 2" xfId="5804"/>
    <cellStyle name="60% - akcent 4 2 3" xfId="5805"/>
    <cellStyle name="60% - akcent 4 2 3 2" xfId="5806"/>
    <cellStyle name="60% - akcent 4 2 3 3" xfId="5807"/>
    <cellStyle name="60% - akcent 4 2 3 4" xfId="5808"/>
    <cellStyle name="60% - akcent 4 2 3 5" xfId="5809"/>
    <cellStyle name="60% - akcent 4 2 3 6" xfId="5810"/>
    <cellStyle name="60% - akcent 4 2 30" xfId="5811"/>
    <cellStyle name="60% - akcent 4 2 30 2" xfId="5812"/>
    <cellStyle name="60% - akcent 4 2 31" xfId="5813"/>
    <cellStyle name="60% - akcent 4 2 31 2" xfId="5814"/>
    <cellStyle name="60% - akcent 4 2 32" xfId="5815"/>
    <cellStyle name="60% - akcent 4 2 32 2" xfId="5816"/>
    <cellStyle name="60% - akcent 4 2 33" xfId="5817"/>
    <cellStyle name="60% - akcent 4 2 34" xfId="5818"/>
    <cellStyle name="60% - akcent 4 2 35" xfId="5819"/>
    <cellStyle name="60% - akcent 4 2 36" xfId="5820"/>
    <cellStyle name="60% - akcent 4 2 37" xfId="5821"/>
    <cellStyle name="60% - akcent 4 2 38" xfId="5822"/>
    <cellStyle name="60% - akcent 4 2 39" xfId="5823"/>
    <cellStyle name="60% - akcent 4 2 4" xfId="5824"/>
    <cellStyle name="60% - akcent 4 2 4 2" xfId="5825"/>
    <cellStyle name="60% - akcent 4 2 4 3" xfId="5826"/>
    <cellStyle name="60% - akcent 4 2 4 4" xfId="5827"/>
    <cellStyle name="60% - akcent 4 2 4 5" xfId="5828"/>
    <cellStyle name="60% - akcent 4 2 4 6" xfId="5829"/>
    <cellStyle name="60% - akcent 4 2 40" xfId="5830"/>
    <cellStyle name="60% - akcent 4 2 41" xfId="5831"/>
    <cellStyle name="60% - akcent 4 2 42" xfId="5832"/>
    <cellStyle name="60% - akcent 4 2 43" xfId="5833"/>
    <cellStyle name="60% - akcent 4 2 44" xfId="5834"/>
    <cellStyle name="60% - akcent 4 2 45" xfId="5835"/>
    <cellStyle name="60% - akcent 4 2 46" xfId="5836"/>
    <cellStyle name="60% - akcent 4 2 47" xfId="5837"/>
    <cellStyle name="60% - akcent 4 2 48" xfId="5838"/>
    <cellStyle name="60% - akcent 4 2 49" xfId="5839"/>
    <cellStyle name="60% - akcent 4 2 5" xfId="5840"/>
    <cellStyle name="60% - akcent 4 2 5 2" xfId="5841"/>
    <cellStyle name="60% - akcent 4 2 5 3" xfId="5842"/>
    <cellStyle name="60% - akcent 4 2 5 4" xfId="5843"/>
    <cellStyle name="60% - akcent 4 2 5 5" xfId="5844"/>
    <cellStyle name="60% - akcent 4 2 5 6" xfId="5845"/>
    <cellStyle name="60% - akcent 4 2 50" xfId="5846"/>
    <cellStyle name="60% - akcent 4 2 51" xfId="5847"/>
    <cellStyle name="60% - akcent 4 2 52" xfId="5848"/>
    <cellStyle name="60% - akcent 4 2 6" xfId="5849"/>
    <cellStyle name="60% - akcent 4 2 6 2" xfId="5850"/>
    <cellStyle name="60% - akcent 4 2 6 3" xfId="5851"/>
    <cellStyle name="60% - akcent 4 2 6 4" xfId="5852"/>
    <cellStyle name="60% - akcent 4 2 6 5" xfId="5853"/>
    <cellStyle name="60% - akcent 4 2 6 6" xfId="5854"/>
    <cellStyle name="60% - akcent 4 2 7" xfId="5855"/>
    <cellStyle name="60% - akcent 4 2 7 2" xfId="5856"/>
    <cellStyle name="60% - akcent 4 2 7 3" xfId="5857"/>
    <cellStyle name="60% - akcent 4 2 7 4" xfId="5858"/>
    <cellStyle name="60% - akcent 4 2 7 5" xfId="5859"/>
    <cellStyle name="60% - akcent 4 2 7 6" xfId="5860"/>
    <cellStyle name="60% - akcent 4 2 8" xfId="5861"/>
    <cellStyle name="60% - akcent 4 2 8 2" xfId="5862"/>
    <cellStyle name="60% - akcent 4 2 8 3" xfId="5863"/>
    <cellStyle name="60% - akcent 4 2 8 4" xfId="5864"/>
    <cellStyle name="60% - akcent 4 2 8 5" xfId="5865"/>
    <cellStyle name="60% - akcent 4 2 8 6" xfId="5866"/>
    <cellStyle name="60% - akcent 4 2 9" xfId="5867"/>
    <cellStyle name="60% - akcent 4 2 9 2" xfId="5868"/>
    <cellStyle name="60% - akcent 4 2 9 3" xfId="5869"/>
    <cellStyle name="60% - akcent 4 2 9 4" xfId="5870"/>
    <cellStyle name="60% - akcent 4 2 9 5" xfId="5871"/>
    <cellStyle name="60% - akcent 4 2 9 6" xfId="5872"/>
    <cellStyle name="60% - akcent 4 3" xfId="5873"/>
    <cellStyle name="60% - akcent 4 3 2" xfId="5874"/>
    <cellStyle name="60% - akcent 4 3 2 2" xfId="5875"/>
    <cellStyle name="60% - akcent 4 3 3" xfId="5876"/>
    <cellStyle name="60% - akcent 4 3 4" xfId="5877"/>
    <cellStyle name="60% - akcent 4 3 5" xfId="5878"/>
    <cellStyle name="60% - akcent 4 3 6" xfId="5879"/>
    <cellStyle name="60% - akcent 4 3 7" xfId="5880"/>
    <cellStyle name="60% - akcent 4 3 8" xfId="5881"/>
    <cellStyle name="60% - akcent 4 4" xfId="5882"/>
    <cellStyle name="60% - akcent 4 4 2" xfId="5883"/>
    <cellStyle name="60% - akcent 4 4 3" xfId="5884"/>
    <cellStyle name="60% - akcent 4 4 4" xfId="5885"/>
    <cellStyle name="60% - akcent 4 4 5" xfId="5886"/>
    <cellStyle name="60% - akcent 4 4 6" xfId="5887"/>
    <cellStyle name="60% - akcent 4 4 7" xfId="5888"/>
    <cellStyle name="60% - akcent 4 4 8" xfId="5889"/>
    <cellStyle name="60% - akcent 4 5" xfId="5890"/>
    <cellStyle name="60% - akcent 4 5 2" xfId="5891"/>
    <cellStyle name="60% - akcent 4 6" xfId="5892"/>
    <cellStyle name="60% - akcent 4 7" xfId="5893"/>
    <cellStyle name="60% - akcent 5 2" xfId="5894"/>
    <cellStyle name="60% - akcent 5 2 10" xfId="5895"/>
    <cellStyle name="60% - akcent 5 2 10 2" xfId="5896"/>
    <cellStyle name="60% - akcent 5 2 10 3" xfId="5897"/>
    <cellStyle name="60% - akcent 5 2 10 4" xfId="5898"/>
    <cellStyle name="60% - akcent 5 2 10 5" xfId="5899"/>
    <cellStyle name="60% - akcent 5 2 10 6" xfId="5900"/>
    <cellStyle name="60% - akcent 5 2 11" xfId="5901"/>
    <cellStyle name="60% - akcent 5 2 11 2" xfId="5902"/>
    <cellStyle name="60% - akcent 5 2 11 3" xfId="5903"/>
    <cellStyle name="60% - akcent 5 2 11 4" xfId="5904"/>
    <cellStyle name="60% - akcent 5 2 11 5" xfId="5905"/>
    <cellStyle name="60% - akcent 5 2 11 6" xfId="5906"/>
    <cellStyle name="60% - akcent 5 2 12" xfId="5907"/>
    <cellStyle name="60% - akcent 5 2 12 2" xfId="5908"/>
    <cellStyle name="60% - akcent 5 2 12 3" xfId="5909"/>
    <cellStyle name="60% - akcent 5 2 12 4" xfId="5910"/>
    <cellStyle name="60% - akcent 5 2 12 5" xfId="5911"/>
    <cellStyle name="60% - akcent 5 2 12 6" xfId="5912"/>
    <cellStyle name="60% - akcent 5 2 13" xfId="5913"/>
    <cellStyle name="60% - akcent 5 2 13 2" xfId="5914"/>
    <cellStyle name="60% - akcent 5 2 13 3" xfId="5915"/>
    <cellStyle name="60% - akcent 5 2 13 4" xfId="5916"/>
    <cellStyle name="60% - akcent 5 2 13 5" xfId="5917"/>
    <cellStyle name="60% - akcent 5 2 13 6" xfId="5918"/>
    <cellStyle name="60% - akcent 5 2 14" xfId="5919"/>
    <cellStyle name="60% - akcent 5 2 14 2" xfId="5920"/>
    <cellStyle name="60% - akcent 5 2 14 3" xfId="5921"/>
    <cellStyle name="60% - akcent 5 2 14 4" xfId="5922"/>
    <cellStyle name="60% - akcent 5 2 14 5" xfId="5923"/>
    <cellStyle name="60% - akcent 5 2 14 6" xfId="5924"/>
    <cellStyle name="60% - akcent 5 2 15" xfId="5925"/>
    <cellStyle name="60% - akcent 5 2 15 2" xfId="5926"/>
    <cellStyle name="60% - akcent 5 2 15 3" xfId="5927"/>
    <cellStyle name="60% - akcent 5 2 15 4" xfId="5928"/>
    <cellStyle name="60% - akcent 5 2 15 5" xfId="5929"/>
    <cellStyle name="60% - akcent 5 2 15 6" xfId="5930"/>
    <cellStyle name="60% - akcent 5 2 16" xfId="5931"/>
    <cellStyle name="60% - akcent 5 2 16 2" xfId="5932"/>
    <cellStyle name="60% - akcent 5 2 16 3" xfId="5933"/>
    <cellStyle name="60% - akcent 5 2 16 4" xfId="5934"/>
    <cellStyle name="60% - akcent 5 2 16 5" xfId="5935"/>
    <cellStyle name="60% - akcent 5 2 16 6" xfId="5936"/>
    <cellStyle name="60% - akcent 5 2 17" xfId="5937"/>
    <cellStyle name="60% - akcent 5 2 17 2" xfId="5938"/>
    <cellStyle name="60% - akcent 5 2 17 3" xfId="5939"/>
    <cellStyle name="60% - akcent 5 2 17 4" xfId="5940"/>
    <cellStyle name="60% - akcent 5 2 17 5" xfId="5941"/>
    <cellStyle name="60% - akcent 5 2 17 6" xfId="5942"/>
    <cellStyle name="60% - akcent 5 2 18" xfId="5943"/>
    <cellStyle name="60% - akcent 5 2 18 2" xfId="5944"/>
    <cellStyle name="60% - akcent 5 2 18 3" xfId="5945"/>
    <cellStyle name="60% - akcent 5 2 18 4" xfId="5946"/>
    <cellStyle name="60% - akcent 5 2 18 5" xfId="5947"/>
    <cellStyle name="60% - akcent 5 2 18 6" xfId="5948"/>
    <cellStyle name="60% - akcent 5 2 19" xfId="5949"/>
    <cellStyle name="60% - akcent 5 2 19 2" xfId="5950"/>
    <cellStyle name="60% - akcent 5 2 19 3" xfId="5951"/>
    <cellStyle name="60% - akcent 5 2 19 4" xfId="5952"/>
    <cellStyle name="60% - akcent 5 2 19 5" xfId="5953"/>
    <cellStyle name="60% - akcent 5 2 19 6" xfId="5954"/>
    <cellStyle name="60% - akcent 5 2 2" xfId="5955"/>
    <cellStyle name="60% - akcent 5 2 2 2" xfId="5956"/>
    <cellStyle name="60% - akcent 5 2 2 3" xfId="5957"/>
    <cellStyle name="60% - akcent 5 2 2 4" xfId="5958"/>
    <cellStyle name="60% - akcent 5 2 2 5" xfId="5959"/>
    <cellStyle name="60% - akcent 5 2 2 6" xfId="5960"/>
    <cellStyle name="60% - akcent 5 2 2 7" xfId="5961"/>
    <cellStyle name="60% - akcent 5 2 20" xfId="5962"/>
    <cellStyle name="60% - akcent 5 2 20 2" xfId="5963"/>
    <cellStyle name="60% - akcent 5 2 20 3" xfId="5964"/>
    <cellStyle name="60% - akcent 5 2 20 4" xfId="5965"/>
    <cellStyle name="60% - akcent 5 2 20 5" xfId="5966"/>
    <cellStyle name="60% - akcent 5 2 20 6" xfId="5967"/>
    <cellStyle name="60% - akcent 5 2 21" xfId="5968"/>
    <cellStyle name="60% - akcent 5 2 21 2" xfId="5969"/>
    <cellStyle name="60% - akcent 5 2 21 3" xfId="5970"/>
    <cellStyle name="60% - akcent 5 2 21 4" xfId="5971"/>
    <cellStyle name="60% - akcent 5 2 21 5" xfId="5972"/>
    <cellStyle name="60% - akcent 5 2 21 6" xfId="5973"/>
    <cellStyle name="60% - akcent 5 2 22" xfId="5974"/>
    <cellStyle name="60% - akcent 5 2 22 2" xfId="5975"/>
    <cellStyle name="60% - akcent 5 2 22 3" xfId="5976"/>
    <cellStyle name="60% - akcent 5 2 22 4" xfId="5977"/>
    <cellStyle name="60% - akcent 5 2 22 5" xfId="5978"/>
    <cellStyle name="60% - akcent 5 2 22 6" xfId="5979"/>
    <cellStyle name="60% - akcent 5 2 23" xfId="5980"/>
    <cellStyle name="60% - akcent 5 2 23 2" xfId="5981"/>
    <cellStyle name="60% - akcent 5 2 23 3" xfId="5982"/>
    <cellStyle name="60% - akcent 5 2 23 4" xfId="5983"/>
    <cellStyle name="60% - akcent 5 2 23 5" xfId="5984"/>
    <cellStyle name="60% - akcent 5 2 23 6" xfId="5985"/>
    <cellStyle name="60% - akcent 5 2 24" xfId="5986"/>
    <cellStyle name="60% - akcent 5 2 24 2" xfId="5987"/>
    <cellStyle name="60% - akcent 5 2 24 3" xfId="5988"/>
    <cellStyle name="60% - akcent 5 2 24 4" xfId="5989"/>
    <cellStyle name="60% - akcent 5 2 24 5" xfId="5990"/>
    <cellStyle name="60% - akcent 5 2 24 6" xfId="5991"/>
    <cellStyle name="60% - akcent 5 2 25" xfId="5992"/>
    <cellStyle name="60% - akcent 5 2 25 2" xfId="5993"/>
    <cellStyle name="60% - akcent 5 2 25 3" xfId="5994"/>
    <cellStyle name="60% - akcent 5 2 25 4" xfId="5995"/>
    <cellStyle name="60% - akcent 5 2 25 5" xfId="5996"/>
    <cellStyle name="60% - akcent 5 2 25 6" xfId="5997"/>
    <cellStyle name="60% - akcent 5 2 26" xfId="5998"/>
    <cellStyle name="60% - akcent 5 2 26 2" xfId="5999"/>
    <cellStyle name="60% - akcent 5 2 26 3" xfId="6000"/>
    <cellStyle name="60% - akcent 5 2 26 4" xfId="6001"/>
    <cellStyle name="60% - akcent 5 2 26 5" xfId="6002"/>
    <cellStyle name="60% - akcent 5 2 26 6" xfId="6003"/>
    <cellStyle name="60% - akcent 5 2 27" xfId="6004"/>
    <cellStyle name="60% - akcent 5 2 27 2" xfId="6005"/>
    <cellStyle name="60% - akcent 5 2 27 3" xfId="6006"/>
    <cellStyle name="60% - akcent 5 2 27 4" xfId="6007"/>
    <cellStyle name="60% - akcent 5 2 27 5" xfId="6008"/>
    <cellStyle name="60% - akcent 5 2 27 6" xfId="6009"/>
    <cellStyle name="60% - akcent 5 2 28" xfId="6010"/>
    <cellStyle name="60% - akcent 5 2 28 2" xfId="6011"/>
    <cellStyle name="60% - akcent 5 2 28 3" xfId="6012"/>
    <cellStyle name="60% - akcent 5 2 28 4" xfId="6013"/>
    <cellStyle name="60% - akcent 5 2 28 5" xfId="6014"/>
    <cellStyle name="60% - akcent 5 2 28 6" xfId="6015"/>
    <cellStyle name="60% - akcent 5 2 29" xfId="6016"/>
    <cellStyle name="60% - akcent 5 2 29 2" xfId="6017"/>
    <cellStyle name="60% - akcent 5 2 3" xfId="6018"/>
    <cellStyle name="60% - akcent 5 2 3 2" xfId="6019"/>
    <cellStyle name="60% - akcent 5 2 3 3" xfId="6020"/>
    <cellStyle name="60% - akcent 5 2 3 4" xfId="6021"/>
    <cellStyle name="60% - akcent 5 2 3 5" xfId="6022"/>
    <cellStyle name="60% - akcent 5 2 3 6" xfId="6023"/>
    <cellStyle name="60% - akcent 5 2 30" xfId="6024"/>
    <cellStyle name="60% - akcent 5 2 30 2" xfId="6025"/>
    <cellStyle name="60% - akcent 5 2 31" xfId="6026"/>
    <cellStyle name="60% - akcent 5 2 31 2" xfId="6027"/>
    <cellStyle name="60% - akcent 5 2 32" xfId="6028"/>
    <cellStyle name="60% - akcent 5 2 32 2" xfId="6029"/>
    <cellStyle name="60% - akcent 5 2 33" xfId="6030"/>
    <cellStyle name="60% - akcent 5 2 34" xfId="6031"/>
    <cellStyle name="60% - akcent 5 2 35" xfId="6032"/>
    <cellStyle name="60% - akcent 5 2 36" xfId="6033"/>
    <cellStyle name="60% - akcent 5 2 37" xfId="6034"/>
    <cellStyle name="60% - akcent 5 2 38" xfId="6035"/>
    <cellStyle name="60% - akcent 5 2 39" xfId="6036"/>
    <cellStyle name="60% - akcent 5 2 4" xfId="6037"/>
    <cellStyle name="60% - akcent 5 2 4 2" xfId="6038"/>
    <cellStyle name="60% - akcent 5 2 4 3" xfId="6039"/>
    <cellStyle name="60% - akcent 5 2 4 4" xfId="6040"/>
    <cellStyle name="60% - akcent 5 2 4 5" xfId="6041"/>
    <cellStyle name="60% - akcent 5 2 4 6" xfId="6042"/>
    <cellStyle name="60% - akcent 5 2 40" xfId="6043"/>
    <cellStyle name="60% - akcent 5 2 41" xfId="6044"/>
    <cellStyle name="60% - akcent 5 2 42" xfId="6045"/>
    <cellStyle name="60% - akcent 5 2 43" xfId="6046"/>
    <cellStyle name="60% - akcent 5 2 44" xfId="6047"/>
    <cellStyle name="60% - akcent 5 2 45" xfId="6048"/>
    <cellStyle name="60% - akcent 5 2 46" xfId="6049"/>
    <cellStyle name="60% - akcent 5 2 47" xfId="6050"/>
    <cellStyle name="60% - akcent 5 2 48" xfId="6051"/>
    <cellStyle name="60% - akcent 5 2 49" xfId="6052"/>
    <cellStyle name="60% - akcent 5 2 5" xfId="6053"/>
    <cellStyle name="60% - akcent 5 2 5 2" xfId="6054"/>
    <cellStyle name="60% - akcent 5 2 5 3" xfId="6055"/>
    <cellStyle name="60% - akcent 5 2 5 4" xfId="6056"/>
    <cellStyle name="60% - akcent 5 2 5 5" xfId="6057"/>
    <cellStyle name="60% - akcent 5 2 5 6" xfId="6058"/>
    <cellStyle name="60% - akcent 5 2 50" xfId="6059"/>
    <cellStyle name="60% - akcent 5 2 51" xfId="6060"/>
    <cellStyle name="60% - akcent 5 2 52" xfId="6061"/>
    <cellStyle name="60% - akcent 5 2 6" xfId="6062"/>
    <cellStyle name="60% - akcent 5 2 6 2" xfId="6063"/>
    <cellStyle name="60% - akcent 5 2 6 3" xfId="6064"/>
    <cellStyle name="60% - akcent 5 2 6 4" xfId="6065"/>
    <cellStyle name="60% - akcent 5 2 6 5" xfId="6066"/>
    <cellStyle name="60% - akcent 5 2 6 6" xfId="6067"/>
    <cellStyle name="60% - akcent 5 2 7" xfId="6068"/>
    <cellStyle name="60% - akcent 5 2 7 2" xfId="6069"/>
    <cellStyle name="60% - akcent 5 2 7 3" xfId="6070"/>
    <cellStyle name="60% - akcent 5 2 7 4" xfId="6071"/>
    <cellStyle name="60% - akcent 5 2 7 5" xfId="6072"/>
    <cellStyle name="60% - akcent 5 2 7 6" xfId="6073"/>
    <cellStyle name="60% - akcent 5 2 8" xfId="6074"/>
    <cellStyle name="60% - akcent 5 2 8 2" xfId="6075"/>
    <cellStyle name="60% - akcent 5 2 8 3" xfId="6076"/>
    <cellStyle name="60% - akcent 5 2 8 4" xfId="6077"/>
    <cellStyle name="60% - akcent 5 2 8 5" xfId="6078"/>
    <cellStyle name="60% - akcent 5 2 8 6" xfId="6079"/>
    <cellStyle name="60% - akcent 5 2 9" xfId="6080"/>
    <cellStyle name="60% - akcent 5 2 9 2" xfId="6081"/>
    <cellStyle name="60% - akcent 5 2 9 3" xfId="6082"/>
    <cellStyle name="60% - akcent 5 2 9 4" xfId="6083"/>
    <cellStyle name="60% - akcent 5 2 9 5" xfId="6084"/>
    <cellStyle name="60% - akcent 5 2 9 6" xfId="6085"/>
    <cellStyle name="60% - akcent 5 3" xfId="6086"/>
    <cellStyle name="60% - akcent 5 3 2" xfId="6087"/>
    <cellStyle name="60% - akcent 5 3 2 2" xfId="6088"/>
    <cellStyle name="60% - akcent 5 3 3" xfId="6089"/>
    <cellStyle name="60% - akcent 5 3 4" xfId="6090"/>
    <cellStyle name="60% - akcent 5 3 5" xfId="6091"/>
    <cellStyle name="60% - akcent 5 3 6" xfId="6092"/>
    <cellStyle name="60% - akcent 5 3 7" xfId="6093"/>
    <cellStyle name="60% - akcent 5 3 8" xfId="6094"/>
    <cellStyle name="60% - akcent 5 4" xfId="6095"/>
    <cellStyle name="60% - akcent 5 4 2" xfId="6096"/>
    <cellStyle name="60% - akcent 5 4 3" xfId="6097"/>
    <cellStyle name="60% - akcent 5 4 4" xfId="6098"/>
    <cellStyle name="60% - akcent 5 4 5" xfId="6099"/>
    <cellStyle name="60% - akcent 5 4 6" xfId="6100"/>
    <cellStyle name="60% - akcent 5 4 7" xfId="6101"/>
    <cellStyle name="60% - akcent 5 4 8" xfId="6102"/>
    <cellStyle name="60% - akcent 5 5" xfId="6103"/>
    <cellStyle name="60% - akcent 5 5 2" xfId="6104"/>
    <cellStyle name="60% - akcent 5 6" xfId="6105"/>
    <cellStyle name="60% - akcent 5 7" xfId="6106"/>
    <cellStyle name="60% - akcent 6 2" xfId="6107"/>
    <cellStyle name="60% - akcent 6 2 10" xfId="6108"/>
    <cellStyle name="60% - akcent 6 2 10 2" xfId="6109"/>
    <cellStyle name="60% - akcent 6 2 10 3" xfId="6110"/>
    <cellStyle name="60% - akcent 6 2 10 4" xfId="6111"/>
    <cellStyle name="60% - akcent 6 2 10 5" xfId="6112"/>
    <cellStyle name="60% - akcent 6 2 10 6" xfId="6113"/>
    <cellStyle name="60% - akcent 6 2 11" xfId="6114"/>
    <cellStyle name="60% - akcent 6 2 11 2" xfId="6115"/>
    <cellStyle name="60% - akcent 6 2 11 3" xfId="6116"/>
    <cellStyle name="60% - akcent 6 2 11 4" xfId="6117"/>
    <cellStyle name="60% - akcent 6 2 11 5" xfId="6118"/>
    <cellStyle name="60% - akcent 6 2 11 6" xfId="6119"/>
    <cellStyle name="60% - akcent 6 2 12" xfId="6120"/>
    <cellStyle name="60% - akcent 6 2 12 2" xfId="6121"/>
    <cellStyle name="60% - akcent 6 2 12 3" xfId="6122"/>
    <cellStyle name="60% - akcent 6 2 12 4" xfId="6123"/>
    <cellStyle name="60% - akcent 6 2 12 5" xfId="6124"/>
    <cellStyle name="60% - akcent 6 2 12 6" xfId="6125"/>
    <cellStyle name="60% - akcent 6 2 13" xfId="6126"/>
    <cellStyle name="60% - akcent 6 2 13 2" xfId="6127"/>
    <cellStyle name="60% - akcent 6 2 13 3" xfId="6128"/>
    <cellStyle name="60% - akcent 6 2 13 4" xfId="6129"/>
    <cellStyle name="60% - akcent 6 2 13 5" xfId="6130"/>
    <cellStyle name="60% - akcent 6 2 13 6" xfId="6131"/>
    <cellStyle name="60% - akcent 6 2 14" xfId="6132"/>
    <cellStyle name="60% - akcent 6 2 14 2" xfId="6133"/>
    <cellStyle name="60% - akcent 6 2 14 3" xfId="6134"/>
    <cellStyle name="60% - akcent 6 2 14 4" xfId="6135"/>
    <cellStyle name="60% - akcent 6 2 14 5" xfId="6136"/>
    <cellStyle name="60% - akcent 6 2 14 6" xfId="6137"/>
    <cellStyle name="60% - akcent 6 2 15" xfId="6138"/>
    <cellStyle name="60% - akcent 6 2 15 2" xfId="6139"/>
    <cellStyle name="60% - akcent 6 2 15 3" xfId="6140"/>
    <cellStyle name="60% - akcent 6 2 15 4" xfId="6141"/>
    <cellStyle name="60% - akcent 6 2 15 5" xfId="6142"/>
    <cellStyle name="60% - akcent 6 2 15 6" xfId="6143"/>
    <cellStyle name="60% - akcent 6 2 16" xfId="6144"/>
    <cellStyle name="60% - akcent 6 2 16 2" xfId="6145"/>
    <cellStyle name="60% - akcent 6 2 16 3" xfId="6146"/>
    <cellStyle name="60% - akcent 6 2 16 4" xfId="6147"/>
    <cellStyle name="60% - akcent 6 2 16 5" xfId="6148"/>
    <cellStyle name="60% - akcent 6 2 16 6" xfId="6149"/>
    <cellStyle name="60% - akcent 6 2 17" xfId="6150"/>
    <cellStyle name="60% - akcent 6 2 17 2" xfId="6151"/>
    <cellStyle name="60% - akcent 6 2 17 3" xfId="6152"/>
    <cellStyle name="60% - akcent 6 2 17 4" xfId="6153"/>
    <cellStyle name="60% - akcent 6 2 17 5" xfId="6154"/>
    <cellStyle name="60% - akcent 6 2 17 6" xfId="6155"/>
    <cellStyle name="60% - akcent 6 2 18" xfId="6156"/>
    <cellStyle name="60% - akcent 6 2 18 2" xfId="6157"/>
    <cellStyle name="60% - akcent 6 2 18 3" xfId="6158"/>
    <cellStyle name="60% - akcent 6 2 18 4" xfId="6159"/>
    <cellStyle name="60% - akcent 6 2 18 5" xfId="6160"/>
    <cellStyle name="60% - akcent 6 2 18 6" xfId="6161"/>
    <cellStyle name="60% - akcent 6 2 19" xfId="6162"/>
    <cellStyle name="60% - akcent 6 2 19 2" xfId="6163"/>
    <cellStyle name="60% - akcent 6 2 19 3" xfId="6164"/>
    <cellStyle name="60% - akcent 6 2 19 4" xfId="6165"/>
    <cellStyle name="60% - akcent 6 2 19 5" xfId="6166"/>
    <cellStyle name="60% - akcent 6 2 19 6" xfId="6167"/>
    <cellStyle name="60% - akcent 6 2 2" xfId="6168"/>
    <cellStyle name="60% - akcent 6 2 2 2" xfId="6169"/>
    <cellStyle name="60% - akcent 6 2 2 3" xfId="6170"/>
    <cellStyle name="60% - akcent 6 2 2 4" xfId="6171"/>
    <cellStyle name="60% - akcent 6 2 2 5" xfId="6172"/>
    <cellStyle name="60% - akcent 6 2 2 6" xfId="6173"/>
    <cellStyle name="60% - akcent 6 2 2 7" xfId="6174"/>
    <cellStyle name="60% - akcent 6 2 20" xfId="6175"/>
    <cellStyle name="60% - akcent 6 2 20 2" xfId="6176"/>
    <cellStyle name="60% - akcent 6 2 20 3" xfId="6177"/>
    <cellStyle name="60% - akcent 6 2 20 4" xfId="6178"/>
    <cellStyle name="60% - akcent 6 2 20 5" xfId="6179"/>
    <cellStyle name="60% - akcent 6 2 20 6" xfId="6180"/>
    <cellStyle name="60% - akcent 6 2 21" xfId="6181"/>
    <cellStyle name="60% - akcent 6 2 21 2" xfId="6182"/>
    <cellStyle name="60% - akcent 6 2 21 3" xfId="6183"/>
    <cellStyle name="60% - akcent 6 2 21 4" xfId="6184"/>
    <cellStyle name="60% - akcent 6 2 21 5" xfId="6185"/>
    <cellStyle name="60% - akcent 6 2 21 6" xfId="6186"/>
    <cellStyle name="60% - akcent 6 2 22" xfId="6187"/>
    <cellStyle name="60% - akcent 6 2 22 2" xfId="6188"/>
    <cellStyle name="60% - akcent 6 2 22 3" xfId="6189"/>
    <cellStyle name="60% - akcent 6 2 22 4" xfId="6190"/>
    <cellStyle name="60% - akcent 6 2 22 5" xfId="6191"/>
    <cellStyle name="60% - akcent 6 2 22 6" xfId="6192"/>
    <cellStyle name="60% - akcent 6 2 23" xfId="6193"/>
    <cellStyle name="60% - akcent 6 2 23 2" xfId="6194"/>
    <cellStyle name="60% - akcent 6 2 23 3" xfId="6195"/>
    <cellStyle name="60% - akcent 6 2 23 4" xfId="6196"/>
    <cellStyle name="60% - akcent 6 2 23 5" xfId="6197"/>
    <cellStyle name="60% - akcent 6 2 23 6" xfId="6198"/>
    <cellStyle name="60% - akcent 6 2 24" xfId="6199"/>
    <cellStyle name="60% - akcent 6 2 24 2" xfId="6200"/>
    <cellStyle name="60% - akcent 6 2 24 3" xfId="6201"/>
    <cellStyle name="60% - akcent 6 2 24 4" xfId="6202"/>
    <cellStyle name="60% - akcent 6 2 24 5" xfId="6203"/>
    <cellStyle name="60% - akcent 6 2 24 6" xfId="6204"/>
    <cellStyle name="60% - akcent 6 2 25" xfId="6205"/>
    <cellStyle name="60% - akcent 6 2 25 2" xfId="6206"/>
    <cellStyle name="60% - akcent 6 2 25 3" xfId="6207"/>
    <cellStyle name="60% - akcent 6 2 25 4" xfId="6208"/>
    <cellStyle name="60% - akcent 6 2 25 5" xfId="6209"/>
    <cellStyle name="60% - akcent 6 2 25 6" xfId="6210"/>
    <cellStyle name="60% - akcent 6 2 26" xfId="6211"/>
    <cellStyle name="60% - akcent 6 2 26 2" xfId="6212"/>
    <cellStyle name="60% - akcent 6 2 26 3" xfId="6213"/>
    <cellStyle name="60% - akcent 6 2 26 4" xfId="6214"/>
    <cellStyle name="60% - akcent 6 2 26 5" xfId="6215"/>
    <cellStyle name="60% - akcent 6 2 26 6" xfId="6216"/>
    <cellStyle name="60% - akcent 6 2 27" xfId="6217"/>
    <cellStyle name="60% - akcent 6 2 27 2" xfId="6218"/>
    <cellStyle name="60% - akcent 6 2 27 3" xfId="6219"/>
    <cellStyle name="60% - akcent 6 2 27 4" xfId="6220"/>
    <cellStyle name="60% - akcent 6 2 27 5" xfId="6221"/>
    <cellStyle name="60% - akcent 6 2 27 6" xfId="6222"/>
    <cellStyle name="60% - akcent 6 2 28" xfId="6223"/>
    <cellStyle name="60% - akcent 6 2 28 2" xfId="6224"/>
    <cellStyle name="60% - akcent 6 2 28 3" xfId="6225"/>
    <cellStyle name="60% - akcent 6 2 28 4" xfId="6226"/>
    <cellStyle name="60% - akcent 6 2 28 5" xfId="6227"/>
    <cellStyle name="60% - akcent 6 2 28 6" xfId="6228"/>
    <cellStyle name="60% - akcent 6 2 29" xfId="6229"/>
    <cellStyle name="60% - akcent 6 2 29 2" xfId="6230"/>
    <cellStyle name="60% - akcent 6 2 3" xfId="6231"/>
    <cellStyle name="60% - akcent 6 2 3 2" xfId="6232"/>
    <cellStyle name="60% - akcent 6 2 3 3" xfId="6233"/>
    <cellStyle name="60% - akcent 6 2 3 4" xfId="6234"/>
    <cellStyle name="60% - akcent 6 2 3 5" xfId="6235"/>
    <cellStyle name="60% - akcent 6 2 3 6" xfId="6236"/>
    <cellStyle name="60% - akcent 6 2 30" xfId="6237"/>
    <cellStyle name="60% - akcent 6 2 30 2" xfId="6238"/>
    <cellStyle name="60% - akcent 6 2 31" xfId="6239"/>
    <cellStyle name="60% - akcent 6 2 31 2" xfId="6240"/>
    <cellStyle name="60% - akcent 6 2 32" xfId="6241"/>
    <cellStyle name="60% - akcent 6 2 32 2" xfId="6242"/>
    <cellStyle name="60% - akcent 6 2 33" xfId="6243"/>
    <cellStyle name="60% - akcent 6 2 34" xfId="6244"/>
    <cellStyle name="60% - akcent 6 2 35" xfId="6245"/>
    <cellStyle name="60% - akcent 6 2 36" xfId="6246"/>
    <cellStyle name="60% - akcent 6 2 37" xfId="6247"/>
    <cellStyle name="60% - akcent 6 2 38" xfId="6248"/>
    <cellStyle name="60% - akcent 6 2 39" xfId="6249"/>
    <cellStyle name="60% - akcent 6 2 4" xfId="6250"/>
    <cellStyle name="60% - akcent 6 2 4 2" xfId="6251"/>
    <cellStyle name="60% - akcent 6 2 4 3" xfId="6252"/>
    <cellStyle name="60% - akcent 6 2 4 4" xfId="6253"/>
    <cellStyle name="60% - akcent 6 2 4 5" xfId="6254"/>
    <cellStyle name="60% - akcent 6 2 4 6" xfId="6255"/>
    <cellStyle name="60% - akcent 6 2 40" xfId="6256"/>
    <cellStyle name="60% - akcent 6 2 41" xfId="6257"/>
    <cellStyle name="60% - akcent 6 2 42" xfId="6258"/>
    <cellStyle name="60% - akcent 6 2 43" xfId="6259"/>
    <cellStyle name="60% - akcent 6 2 44" xfId="6260"/>
    <cellStyle name="60% - akcent 6 2 45" xfId="6261"/>
    <cellStyle name="60% - akcent 6 2 46" xfId="6262"/>
    <cellStyle name="60% - akcent 6 2 47" xfId="6263"/>
    <cellStyle name="60% - akcent 6 2 48" xfId="6264"/>
    <cellStyle name="60% - akcent 6 2 49" xfId="6265"/>
    <cellStyle name="60% - akcent 6 2 5" xfId="6266"/>
    <cellStyle name="60% - akcent 6 2 5 2" xfId="6267"/>
    <cellStyle name="60% - akcent 6 2 5 3" xfId="6268"/>
    <cellStyle name="60% - akcent 6 2 5 4" xfId="6269"/>
    <cellStyle name="60% - akcent 6 2 5 5" xfId="6270"/>
    <cellStyle name="60% - akcent 6 2 5 6" xfId="6271"/>
    <cellStyle name="60% - akcent 6 2 50" xfId="6272"/>
    <cellStyle name="60% - akcent 6 2 51" xfId="6273"/>
    <cellStyle name="60% - akcent 6 2 52" xfId="6274"/>
    <cellStyle name="60% - akcent 6 2 6" xfId="6275"/>
    <cellStyle name="60% - akcent 6 2 6 2" xfId="6276"/>
    <cellStyle name="60% - akcent 6 2 6 3" xfId="6277"/>
    <cellStyle name="60% - akcent 6 2 6 4" xfId="6278"/>
    <cellStyle name="60% - akcent 6 2 6 5" xfId="6279"/>
    <cellStyle name="60% - akcent 6 2 6 6" xfId="6280"/>
    <cellStyle name="60% - akcent 6 2 7" xfId="6281"/>
    <cellStyle name="60% - akcent 6 2 7 2" xfId="6282"/>
    <cellStyle name="60% - akcent 6 2 7 3" xfId="6283"/>
    <cellStyle name="60% - akcent 6 2 7 4" xfId="6284"/>
    <cellStyle name="60% - akcent 6 2 7 5" xfId="6285"/>
    <cellStyle name="60% - akcent 6 2 7 6" xfId="6286"/>
    <cellStyle name="60% - akcent 6 2 8" xfId="6287"/>
    <cellStyle name="60% - akcent 6 2 8 2" xfId="6288"/>
    <cellStyle name="60% - akcent 6 2 8 3" xfId="6289"/>
    <cellStyle name="60% - akcent 6 2 8 4" xfId="6290"/>
    <cellStyle name="60% - akcent 6 2 8 5" xfId="6291"/>
    <cellStyle name="60% - akcent 6 2 8 6" xfId="6292"/>
    <cellStyle name="60% - akcent 6 2 9" xfId="6293"/>
    <cellStyle name="60% - akcent 6 2 9 2" xfId="6294"/>
    <cellStyle name="60% - akcent 6 2 9 3" xfId="6295"/>
    <cellStyle name="60% - akcent 6 2 9 4" xfId="6296"/>
    <cellStyle name="60% - akcent 6 2 9 5" xfId="6297"/>
    <cellStyle name="60% - akcent 6 2 9 6" xfId="6298"/>
    <cellStyle name="60% - akcent 6 3" xfId="6299"/>
    <cellStyle name="60% - akcent 6 3 2" xfId="6300"/>
    <cellStyle name="60% - akcent 6 3 2 2" xfId="6301"/>
    <cellStyle name="60% - akcent 6 3 3" xfId="6302"/>
    <cellStyle name="60% - akcent 6 3 4" xfId="6303"/>
    <cellStyle name="60% - akcent 6 3 5" xfId="6304"/>
    <cellStyle name="60% - akcent 6 3 6" xfId="6305"/>
    <cellStyle name="60% - akcent 6 3 7" xfId="6306"/>
    <cellStyle name="60% - akcent 6 3 8" xfId="6307"/>
    <cellStyle name="60% - akcent 6 4" xfId="6308"/>
    <cellStyle name="60% - akcent 6 4 2" xfId="6309"/>
    <cellStyle name="60% - akcent 6 4 3" xfId="6310"/>
    <cellStyle name="60% - akcent 6 4 4" xfId="6311"/>
    <cellStyle name="60% - akcent 6 4 5" xfId="6312"/>
    <cellStyle name="60% - akcent 6 4 6" xfId="6313"/>
    <cellStyle name="60% - akcent 6 4 7" xfId="6314"/>
    <cellStyle name="60% - akcent 6 4 8" xfId="6315"/>
    <cellStyle name="60% - akcent 6 5" xfId="6316"/>
    <cellStyle name="60% - akcent 6 5 2" xfId="6317"/>
    <cellStyle name="60% - akcent 6 6" xfId="6318"/>
    <cellStyle name="60% - akcent 6 7" xfId="6319"/>
    <cellStyle name="aaa" xfId="6320"/>
    <cellStyle name="Afrundet valuta_Slideshow" xfId="6321"/>
    <cellStyle name="Akcent 1 2" xfId="6322"/>
    <cellStyle name="Akcent 1 2 10" xfId="6323"/>
    <cellStyle name="Akcent 1 2 10 2" xfId="6324"/>
    <cellStyle name="Akcent 1 2 10 3" xfId="6325"/>
    <cellStyle name="Akcent 1 2 10 4" xfId="6326"/>
    <cellStyle name="Akcent 1 2 10 5" xfId="6327"/>
    <cellStyle name="Akcent 1 2 10 6" xfId="6328"/>
    <cellStyle name="Akcent 1 2 11" xfId="6329"/>
    <cellStyle name="Akcent 1 2 11 2" xfId="6330"/>
    <cellStyle name="Akcent 1 2 11 3" xfId="6331"/>
    <cellStyle name="Akcent 1 2 11 4" xfId="6332"/>
    <cellStyle name="Akcent 1 2 11 5" xfId="6333"/>
    <cellStyle name="Akcent 1 2 11 6" xfId="6334"/>
    <cellStyle name="Akcent 1 2 12" xfId="6335"/>
    <cellStyle name="Akcent 1 2 12 2" xfId="6336"/>
    <cellStyle name="Akcent 1 2 12 3" xfId="6337"/>
    <cellStyle name="Akcent 1 2 12 4" xfId="6338"/>
    <cellStyle name="Akcent 1 2 12 5" xfId="6339"/>
    <cellStyle name="Akcent 1 2 12 6" xfId="6340"/>
    <cellStyle name="Akcent 1 2 13" xfId="6341"/>
    <cellStyle name="Akcent 1 2 13 2" xfId="6342"/>
    <cellStyle name="Akcent 1 2 13 3" xfId="6343"/>
    <cellStyle name="Akcent 1 2 13 4" xfId="6344"/>
    <cellStyle name="Akcent 1 2 13 5" xfId="6345"/>
    <cellStyle name="Akcent 1 2 13 6" xfId="6346"/>
    <cellStyle name="Akcent 1 2 14" xfId="6347"/>
    <cellStyle name="Akcent 1 2 14 2" xfId="6348"/>
    <cellStyle name="Akcent 1 2 14 3" xfId="6349"/>
    <cellStyle name="Akcent 1 2 14 4" xfId="6350"/>
    <cellStyle name="Akcent 1 2 14 5" xfId="6351"/>
    <cellStyle name="Akcent 1 2 14 6" xfId="6352"/>
    <cellStyle name="Akcent 1 2 15" xfId="6353"/>
    <cellStyle name="Akcent 1 2 15 2" xfId="6354"/>
    <cellStyle name="Akcent 1 2 15 3" xfId="6355"/>
    <cellStyle name="Akcent 1 2 15 4" xfId="6356"/>
    <cellStyle name="Akcent 1 2 15 5" xfId="6357"/>
    <cellStyle name="Akcent 1 2 15 6" xfId="6358"/>
    <cellStyle name="Akcent 1 2 16" xfId="6359"/>
    <cellStyle name="Akcent 1 2 16 2" xfId="6360"/>
    <cellStyle name="Akcent 1 2 16 3" xfId="6361"/>
    <cellStyle name="Akcent 1 2 16 4" xfId="6362"/>
    <cellStyle name="Akcent 1 2 16 5" xfId="6363"/>
    <cellStyle name="Akcent 1 2 16 6" xfId="6364"/>
    <cellStyle name="Akcent 1 2 17" xfId="6365"/>
    <cellStyle name="Akcent 1 2 17 2" xfId="6366"/>
    <cellStyle name="Akcent 1 2 17 3" xfId="6367"/>
    <cellStyle name="Akcent 1 2 17 4" xfId="6368"/>
    <cellStyle name="Akcent 1 2 17 5" xfId="6369"/>
    <cellStyle name="Akcent 1 2 17 6" xfId="6370"/>
    <cellStyle name="Akcent 1 2 18" xfId="6371"/>
    <cellStyle name="Akcent 1 2 18 2" xfId="6372"/>
    <cellStyle name="Akcent 1 2 18 3" xfId="6373"/>
    <cellStyle name="Akcent 1 2 18 4" xfId="6374"/>
    <cellStyle name="Akcent 1 2 18 5" xfId="6375"/>
    <cellStyle name="Akcent 1 2 18 6" xfId="6376"/>
    <cellStyle name="Akcent 1 2 19" xfId="6377"/>
    <cellStyle name="Akcent 1 2 19 2" xfId="6378"/>
    <cellStyle name="Akcent 1 2 19 3" xfId="6379"/>
    <cellStyle name="Akcent 1 2 19 4" xfId="6380"/>
    <cellStyle name="Akcent 1 2 19 5" xfId="6381"/>
    <cellStyle name="Akcent 1 2 19 6" xfId="6382"/>
    <cellStyle name="Akcent 1 2 2" xfId="6383"/>
    <cellStyle name="Akcent 1 2 2 2" xfId="6384"/>
    <cellStyle name="Akcent 1 2 2 3" xfId="6385"/>
    <cellStyle name="Akcent 1 2 2 4" xfId="6386"/>
    <cellStyle name="Akcent 1 2 2 5" xfId="6387"/>
    <cellStyle name="Akcent 1 2 2 6" xfId="6388"/>
    <cellStyle name="Akcent 1 2 2 7" xfId="6389"/>
    <cellStyle name="Akcent 1 2 20" xfId="6390"/>
    <cellStyle name="Akcent 1 2 20 2" xfId="6391"/>
    <cellStyle name="Akcent 1 2 20 3" xfId="6392"/>
    <cellStyle name="Akcent 1 2 20 4" xfId="6393"/>
    <cellStyle name="Akcent 1 2 20 5" xfId="6394"/>
    <cellStyle name="Akcent 1 2 20 6" xfId="6395"/>
    <cellStyle name="Akcent 1 2 21" xfId="6396"/>
    <cellStyle name="Akcent 1 2 21 2" xfId="6397"/>
    <cellStyle name="Akcent 1 2 21 3" xfId="6398"/>
    <cellStyle name="Akcent 1 2 21 4" xfId="6399"/>
    <cellStyle name="Akcent 1 2 21 5" xfId="6400"/>
    <cellStyle name="Akcent 1 2 21 6" xfId="6401"/>
    <cellStyle name="Akcent 1 2 22" xfId="6402"/>
    <cellStyle name="Akcent 1 2 22 2" xfId="6403"/>
    <cellStyle name="Akcent 1 2 22 3" xfId="6404"/>
    <cellStyle name="Akcent 1 2 22 4" xfId="6405"/>
    <cellStyle name="Akcent 1 2 22 5" xfId="6406"/>
    <cellStyle name="Akcent 1 2 22 6" xfId="6407"/>
    <cellStyle name="Akcent 1 2 23" xfId="6408"/>
    <cellStyle name="Akcent 1 2 23 2" xfId="6409"/>
    <cellStyle name="Akcent 1 2 23 3" xfId="6410"/>
    <cellStyle name="Akcent 1 2 23 4" xfId="6411"/>
    <cellStyle name="Akcent 1 2 23 5" xfId="6412"/>
    <cellStyle name="Akcent 1 2 23 6" xfId="6413"/>
    <cellStyle name="Akcent 1 2 24" xfId="6414"/>
    <cellStyle name="Akcent 1 2 24 2" xfId="6415"/>
    <cellStyle name="Akcent 1 2 24 3" xfId="6416"/>
    <cellStyle name="Akcent 1 2 24 4" xfId="6417"/>
    <cellStyle name="Akcent 1 2 24 5" xfId="6418"/>
    <cellStyle name="Akcent 1 2 24 6" xfId="6419"/>
    <cellStyle name="Akcent 1 2 25" xfId="6420"/>
    <cellStyle name="Akcent 1 2 25 2" xfId="6421"/>
    <cellStyle name="Akcent 1 2 25 3" xfId="6422"/>
    <cellStyle name="Akcent 1 2 25 4" xfId="6423"/>
    <cellStyle name="Akcent 1 2 25 5" xfId="6424"/>
    <cellStyle name="Akcent 1 2 25 6" xfId="6425"/>
    <cellStyle name="Akcent 1 2 26" xfId="6426"/>
    <cellStyle name="Akcent 1 2 26 2" xfId="6427"/>
    <cellStyle name="Akcent 1 2 26 3" xfId="6428"/>
    <cellStyle name="Akcent 1 2 26 4" xfId="6429"/>
    <cellStyle name="Akcent 1 2 26 5" xfId="6430"/>
    <cellStyle name="Akcent 1 2 26 6" xfId="6431"/>
    <cellStyle name="Akcent 1 2 27" xfId="6432"/>
    <cellStyle name="Akcent 1 2 27 2" xfId="6433"/>
    <cellStyle name="Akcent 1 2 27 3" xfId="6434"/>
    <cellStyle name="Akcent 1 2 27 4" xfId="6435"/>
    <cellStyle name="Akcent 1 2 27 5" xfId="6436"/>
    <cellStyle name="Akcent 1 2 27 6" xfId="6437"/>
    <cellStyle name="Akcent 1 2 28" xfId="6438"/>
    <cellStyle name="Akcent 1 2 28 2" xfId="6439"/>
    <cellStyle name="Akcent 1 2 28 3" xfId="6440"/>
    <cellStyle name="Akcent 1 2 28 4" xfId="6441"/>
    <cellStyle name="Akcent 1 2 28 5" xfId="6442"/>
    <cellStyle name="Akcent 1 2 28 6" xfId="6443"/>
    <cellStyle name="Akcent 1 2 29" xfId="6444"/>
    <cellStyle name="Akcent 1 2 29 2" xfId="6445"/>
    <cellStyle name="Akcent 1 2 3" xfId="6446"/>
    <cellStyle name="Akcent 1 2 3 2" xfId="6447"/>
    <cellStyle name="Akcent 1 2 3 3" xfId="6448"/>
    <cellStyle name="Akcent 1 2 3 4" xfId="6449"/>
    <cellStyle name="Akcent 1 2 3 5" xfId="6450"/>
    <cellStyle name="Akcent 1 2 3 6" xfId="6451"/>
    <cellStyle name="Akcent 1 2 30" xfId="6452"/>
    <cellStyle name="Akcent 1 2 30 2" xfId="6453"/>
    <cellStyle name="Akcent 1 2 31" xfId="6454"/>
    <cellStyle name="Akcent 1 2 31 2" xfId="6455"/>
    <cellStyle name="Akcent 1 2 32" xfId="6456"/>
    <cellStyle name="Akcent 1 2 32 2" xfId="6457"/>
    <cellStyle name="Akcent 1 2 33" xfId="6458"/>
    <cellStyle name="Akcent 1 2 34" xfId="6459"/>
    <cellStyle name="Akcent 1 2 35" xfId="6460"/>
    <cellStyle name="Akcent 1 2 36" xfId="6461"/>
    <cellStyle name="Akcent 1 2 37" xfId="6462"/>
    <cellStyle name="Akcent 1 2 38" xfId="6463"/>
    <cellStyle name="Akcent 1 2 39" xfId="6464"/>
    <cellStyle name="Akcent 1 2 4" xfId="6465"/>
    <cellStyle name="Akcent 1 2 4 2" xfId="6466"/>
    <cellStyle name="Akcent 1 2 4 3" xfId="6467"/>
    <cellStyle name="Akcent 1 2 4 4" xfId="6468"/>
    <cellStyle name="Akcent 1 2 4 5" xfId="6469"/>
    <cellStyle name="Akcent 1 2 4 6" xfId="6470"/>
    <cellStyle name="Akcent 1 2 40" xfId="6471"/>
    <cellStyle name="Akcent 1 2 41" xfId="6472"/>
    <cellStyle name="Akcent 1 2 42" xfId="6473"/>
    <cellStyle name="Akcent 1 2 43" xfId="6474"/>
    <cellStyle name="Akcent 1 2 44" xfId="6475"/>
    <cellStyle name="Akcent 1 2 45" xfId="6476"/>
    <cellStyle name="Akcent 1 2 46" xfId="6477"/>
    <cellStyle name="Akcent 1 2 47" xfId="6478"/>
    <cellStyle name="Akcent 1 2 48" xfId="6479"/>
    <cellStyle name="Akcent 1 2 49" xfId="6480"/>
    <cellStyle name="Akcent 1 2 5" xfId="6481"/>
    <cellStyle name="Akcent 1 2 5 2" xfId="6482"/>
    <cellStyle name="Akcent 1 2 5 3" xfId="6483"/>
    <cellStyle name="Akcent 1 2 5 4" xfId="6484"/>
    <cellStyle name="Akcent 1 2 5 5" xfId="6485"/>
    <cellStyle name="Akcent 1 2 5 6" xfId="6486"/>
    <cellStyle name="Akcent 1 2 50" xfId="6487"/>
    <cellStyle name="Akcent 1 2 51" xfId="6488"/>
    <cellStyle name="Akcent 1 2 52" xfId="6489"/>
    <cellStyle name="Akcent 1 2 6" xfId="6490"/>
    <cellStyle name="Akcent 1 2 6 2" xfId="6491"/>
    <cellStyle name="Akcent 1 2 6 3" xfId="6492"/>
    <cellStyle name="Akcent 1 2 6 4" xfId="6493"/>
    <cellStyle name="Akcent 1 2 6 5" xfId="6494"/>
    <cellStyle name="Akcent 1 2 6 6" xfId="6495"/>
    <cellStyle name="Akcent 1 2 7" xfId="6496"/>
    <cellStyle name="Akcent 1 2 7 2" xfId="6497"/>
    <cellStyle name="Akcent 1 2 7 3" xfId="6498"/>
    <cellStyle name="Akcent 1 2 7 4" xfId="6499"/>
    <cellStyle name="Akcent 1 2 7 5" xfId="6500"/>
    <cellStyle name="Akcent 1 2 7 6" xfId="6501"/>
    <cellStyle name="Akcent 1 2 8" xfId="6502"/>
    <cellStyle name="Akcent 1 2 8 2" xfId="6503"/>
    <cellStyle name="Akcent 1 2 8 3" xfId="6504"/>
    <cellStyle name="Akcent 1 2 8 4" xfId="6505"/>
    <cellStyle name="Akcent 1 2 8 5" xfId="6506"/>
    <cellStyle name="Akcent 1 2 8 6" xfId="6507"/>
    <cellStyle name="Akcent 1 2 9" xfId="6508"/>
    <cellStyle name="Akcent 1 2 9 2" xfId="6509"/>
    <cellStyle name="Akcent 1 2 9 3" xfId="6510"/>
    <cellStyle name="Akcent 1 2 9 4" xfId="6511"/>
    <cellStyle name="Akcent 1 2 9 5" xfId="6512"/>
    <cellStyle name="Akcent 1 2 9 6" xfId="6513"/>
    <cellStyle name="Akcent 1 3" xfId="6514"/>
    <cellStyle name="Akcent 1 3 2" xfId="6515"/>
    <cellStyle name="Akcent 1 3 2 2" xfId="6516"/>
    <cellStyle name="Akcent 1 3 3" xfId="6517"/>
    <cellStyle name="Akcent 1 3 4" xfId="6518"/>
    <cellStyle name="Akcent 1 3 5" xfId="6519"/>
    <cellStyle name="Akcent 1 3 6" xfId="6520"/>
    <cellStyle name="Akcent 1 3 7" xfId="6521"/>
    <cellStyle name="Akcent 1 3 8" xfId="6522"/>
    <cellStyle name="Akcent 1 4" xfId="6523"/>
    <cellStyle name="Akcent 1 4 2" xfId="6524"/>
    <cellStyle name="Akcent 1 4 3" xfId="6525"/>
    <cellStyle name="Akcent 1 4 4" xfId="6526"/>
    <cellStyle name="Akcent 1 4 5" xfId="6527"/>
    <cellStyle name="Akcent 1 4 6" xfId="6528"/>
    <cellStyle name="Akcent 1 4 7" xfId="6529"/>
    <cellStyle name="Akcent 1 4 8" xfId="6530"/>
    <cellStyle name="Akcent 1 5" xfId="6531"/>
    <cellStyle name="Akcent 1 5 2" xfId="6532"/>
    <cellStyle name="Akcent 1 6" xfId="6533"/>
    <cellStyle name="Akcent 1 7" xfId="6534"/>
    <cellStyle name="Akcent 2 2" xfId="6535"/>
    <cellStyle name="Akcent 2 2 10" xfId="6536"/>
    <cellStyle name="Akcent 2 2 10 2" xfId="6537"/>
    <cellStyle name="Akcent 2 2 10 3" xfId="6538"/>
    <cellStyle name="Akcent 2 2 10 4" xfId="6539"/>
    <cellStyle name="Akcent 2 2 10 5" xfId="6540"/>
    <cellStyle name="Akcent 2 2 10 6" xfId="6541"/>
    <cellStyle name="Akcent 2 2 11" xfId="6542"/>
    <cellStyle name="Akcent 2 2 11 2" xfId="6543"/>
    <cellStyle name="Akcent 2 2 11 3" xfId="6544"/>
    <cellStyle name="Akcent 2 2 11 4" xfId="6545"/>
    <cellStyle name="Akcent 2 2 11 5" xfId="6546"/>
    <cellStyle name="Akcent 2 2 11 6" xfId="6547"/>
    <cellStyle name="Akcent 2 2 12" xfId="6548"/>
    <cellStyle name="Akcent 2 2 12 2" xfId="6549"/>
    <cellStyle name="Akcent 2 2 12 3" xfId="6550"/>
    <cellStyle name="Akcent 2 2 12 4" xfId="6551"/>
    <cellStyle name="Akcent 2 2 12 5" xfId="6552"/>
    <cellStyle name="Akcent 2 2 12 6" xfId="6553"/>
    <cellStyle name="Akcent 2 2 13" xfId="6554"/>
    <cellStyle name="Akcent 2 2 13 2" xfId="6555"/>
    <cellStyle name="Akcent 2 2 13 3" xfId="6556"/>
    <cellStyle name="Akcent 2 2 13 4" xfId="6557"/>
    <cellStyle name="Akcent 2 2 13 5" xfId="6558"/>
    <cellStyle name="Akcent 2 2 13 6" xfId="6559"/>
    <cellStyle name="Akcent 2 2 14" xfId="6560"/>
    <cellStyle name="Akcent 2 2 14 2" xfId="6561"/>
    <cellStyle name="Akcent 2 2 14 3" xfId="6562"/>
    <cellStyle name="Akcent 2 2 14 4" xfId="6563"/>
    <cellStyle name="Akcent 2 2 14 5" xfId="6564"/>
    <cellStyle name="Akcent 2 2 14 6" xfId="6565"/>
    <cellStyle name="Akcent 2 2 15" xfId="6566"/>
    <cellStyle name="Akcent 2 2 15 2" xfId="6567"/>
    <cellStyle name="Akcent 2 2 15 3" xfId="6568"/>
    <cellStyle name="Akcent 2 2 15 4" xfId="6569"/>
    <cellStyle name="Akcent 2 2 15 5" xfId="6570"/>
    <cellStyle name="Akcent 2 2 15 6" xfId="6571"/>
    <cellStyle name="Akcent 2 2 16" xfId="6572"/>
    <cellStyle name="Akcent 2 2 16 2" xfId="6573"/>
    <cellStyle name="Akcent 2 2 16 3" xfId="6574"/>
    <cellStyle name="Akcent 2 2 16 4" xfId="6575"/>
    <cellStyle name="Akcent 2 2 16 5" xfId="6576"/>
    <cellStyle name="Akcent 2 2 16 6" xfId="6577"/>
    <cellStyle name="Akcent 2 2 17" xfId="6578"/>
    <cellStyle name="Akcent 2 2 17 2" xfId="6579"/>
    <cellStyle name="Akcent 2 2 17 3" xfId="6580"/>
    <cellStyle name="Akcent 2 2 17 4" xfId="6581"/>
    <cellStyle name="Akcent 2 2 17 5" xfId="6582"/>
    <cellStyle name="Akcent 2 2 17 6" xfId="6583"/>
    <cellStyle name="Akcent 2 2 18" xfId="6584"/>
    <cellStyle name="Akcent 2 2 18 2" xfId="6585"/>
    <cellStyle name="Akcent 2 2 18 3" xfId="6586"/>
    <cellStyle name="Akcent 2 2 18 4" xfId="6587"/>
    <cellStyle name="Akcent 2 2 18 5" xfId="6588"/>
    <cellStyle name="Akcent 2 2 18 6" xfId="6589"/>
    <cellStyle name="Akcent 2 2 19" xfId="6590"/>
    <cellStyle name="Akcent 2 2 19 2" xfId="6591"/>
    <cellStyle name="Akcent 2 2 19 3" xfId="6592"/>
    <cellStyle name="Akcent 2 2 19 4" xfId="6593"/>
    <cellStyle name="Akcent 2 2 19 5" xfId="6594"/>
    <cellStyle name="Akcent 2 2 19 6" xfId="6595"/>
    <cellStyle name="Akcent 2 2 2" xfId="6596"/>
    <cellStyle name="Akcent 2 2 2 2" xfId="6597"/>
    <cellStyle name="Akcent 2 2 2 3" xfId="6598"/>
    <cellStyle name="Akcent 2 2 2 4" xfId="6599"/>
    <cellStyle name="Akcent 2 2 2 5" xfId="6600"/>
    <cellStyle name="Akcent 2 2 2 6" xfId="6601"/>
    <cellStyle name="Akcent 2 2 2 7" xfId="6602"/>
    <cellStyle name="Akcent 2 2 20" xfId="6603"/>
    <cellStyle name="Akcent 2 2 20 2" xfId="6604"/>
    <cellStyle name="Akcent 2 2 20 3" xfId="6605"/>
    <cellStyle name="Akcent 2 2 20 4" xfId="6606"/>
    <cellStyle name="Akcent 2 2 20 5" xfId="6607"/>
    <cellStyle name="Akcent 2 2 20 6" xfId="6608"/>
    <cellStyle name="Akcent 2 2 21" xfId="6609"/>
    <cellStyle name="Akcent 2 2 21 2" xfId="6610"/>
    <cellStyle name="Akcent 2 2 21 3" xfId="6611"/>
    <cellStyle name="Akcent 2 2 21 4" xfId="6612"/>
    <cellStyle name="Akcent 2 2 21 5" xfId="6613"/>
    <cellStyle name="Akcent 2 2 21 6" xfId="6614"/>
    <cellStyle name="Akcent 2 2 22" xfId="6615"/>
    <cellStyle name="Akcent 2 2 22 2" xfId="6616"/>
    <cellStyle name="Akcent 2 2 22 3" xfId="6617"/>
    <cellStyle name="Akcent 2 2 22 4" xfId="6618"/>
    <cellStyle name="Akcent 2 2 22 5" xfId="6619"/>
    <cellStyle name="Akcent 2 2 22 6" xfId="6620"/>
    <cellStyle name="Akcent 2 2 23" xfId="6621"/>
    <cellStyle name="Akcent 2 2 23 2" xfId="6622"/>
    <cellStyle name="Akcent 2 2 23 3" xfId="6623"/>
    <cellStyle name="Akcent 2 2 23 4" xfId="6624"/>
    <cellStyle name="Akcent 2 2 23 5" xfId="6625"/>
    <cellStyle name="Akcent 2 2 23 6" xfId="6626"/>
    <cellStyle name="Akcent 2 2 24" xfId="6627"/>
    <cellStyle name="Akcent 2 2 24 2" xfId="6628"/>
    <cellStyle name="Akcent 2 2 24 3" xfId="6629"/>
    <cellStyle name="Akcent 2 2 24 4" xfId="6630"/>
    <cellStyle name="Akcent 2 2 24 5" xfId="6631"/>
    <cellStyle name="Akcent 2 2 24 6" xfId="6632"/>
    <cellStyle name="Akcent 2 2 25" xfId="6633"/>
    <cellStyle name="Akcent 2 2 25 2" xfId="6634"/>
    <cellStyle name="Akcent 2 2 25 3" xfId="6635"/>
    <cellStyle name="Akcent 2 2 25 4" xfId="6636"/>
    <cellStyle name="Akcent 2 2 25 5" xfId="6637"/>
    <cellStyle name="Akcent 2 2 25 6" xfId="6638"/>
    <cellStyle name="Akcent 2 2 26" xfId="6639"/>
    <cellStyle name="Akcent 2 2 26 2" xfId="6640"/>
    <cellStyle name="Akcent 2 2 26 3" xfId="6641"/>
    <cellStyle name="Akcent 2 2 26 4" xfId="6642"/>
    <cellStyle name="Akcent 2 2 26 5" xfId="6643"/>
    <cellStyle name="Akcent 2 2 26 6" xfId="6644"/>
    <cellStyle name="Akcent 2 2 27" xfId="6645"/>
    <cellStyle name="Akcent 2 2 27 2" xfId="6646"/>
    <cellStyle name="Akcent 2 2 27 3" xfId="6647"/>
    <cellStyle name="Akcent 2 2 27 4" xfId="6648"/>
    <cellStyle name="Akcent 2 2 27 5" xfId="6649"/>
    <cellStyle name="Akcent 2 2 27 6" xfId="6650"/>
    <cellStyle name="Akcent 2 2 28" xfId="6651"/>
    <cellStyle name="Akcent 2 2 28 2" xfId="6652"/>
    <cellStyle name="Akcent 2 2 28 3" xfId="6653"/>
    <cellStyle name="Akcent 2 2 28 4" xfId="6654"/>
    <cellStyle name="Akcent 2 2 28 5" xfId="6655"/>
    <cellStyle name="Akcent 2 2 28 6" xfId="6656"/>
    <cellStyle name="Akcent 2 2 29" xfId="6657"/>
    <cellStyle name="Akcent 2 2 29 2" xfId="6658"/>
    <cellStyle name="Akcent 2 2 3" xfId="6659"/>
    <cellStyle name="Akcent 2 2 3 2" xfId="6660"/>
    <cellStyle name="Akcent 2 2 3 3" xfId="6661"/>
    <cellStyle name="Akcent 2 2 3 4" xfId="6662"/>
    <cellStyle name="Akcent 2 2 3 5" xfId="6663"/>
    <cellStyle name="Akcent 2 2 3 6" xfId="6664"/>
    <cellStyle name="Akcent 2 2 30" xfId="6665"/>
    <cellStyle name="Akcent 2 2 30 2" xfId="6666"/>
    <cellStyle name="Akcent 2 2 31" xfId="6667"/>
    <cellStyle name="Akcent 2 2 31 2" xfId="6668"/>
    <cellStyle name="Akcent 2 2 32" xfId="6669"/>
    <cellStyle name="Akcent 2 2 32 2" xfId="6670"/>
    <cellStyle name="Akcent 2 2 33" xfId="6671"/>
    <cellStyle name="Akcent 2 2 34" xfId="6672"/>
    <cellStyle name="Akcent 2 2 35" xfId="6673"/>
    <cellStyle name="Akcent 2 2 36" xfId="6674"/>
    <cellStyle name="Akcent 2 2 37" xfId="6675"/>
    <cellStyle name="Akcent 2 2 38" xfId="6676"/>
    <cellStyle name="Akcent 2 2 39" xfId="6677"/>
    <cellStyle name="Akcent 2 2 4" xfId="6678"/>
    <cellStyle name="Akcent 2 2 4 2" xfId="6679"/>
    <cellStyle name="Akcent 2 2 4 3" xfId="6680"/>
    <cellStyle name="Akcent 2 2 4 4" xfId="6681"/>
    <cellStyle name="Akcent 2 2 4 5" xfId="6682"/>
    <cellStyle name="Akcent 2 2 4 6" xfId="6683"/>
    <cellStyle name="Akcent 2 2 40" xfId="6684"/>
    <cellStyle name="Akcent 2 2 41" xfId="6685"/>
    <cellStyle name="Akcent 2 2 42" xfId="6686"/>
    <cellStyle name="Akcent 2 2 43" xfId="6687"/>
    <cellStyle name="Akcent 2 2 44" xfId="6688"/>
    <cellStyle name="Akcent 2 2 45" xfId="6689"/>
    <cellStyle name="Akcent 2 2 46" xfId="6690"/>
    <cellStyle name="Akcent 2 2 47" xfId="6691"/>
    <cellStyle name="Akcent 2 2 48" xfId="6692"/>
    <cellStyle name="Akcent 2 2 49" xfId="6693"/>
    <cellStyle name="Akcent 2 2 5" xfId="6694"/>
    <cellStyle name="Akcent 2 2 5 2" xfId="6695"/>
    <cellStyle name="Akcent 2 2 5 3" xfId="6696"/>
    <cellStyle name="Akcent 2 2 5 4" xfId="6697"/>
    <cellStyle name="Akcent 2 2 5 5" xfId="6698"/>
    <cellStyle name="Akcent 2 2 5 6" xfId="6699"/>
    <cellStyle name="Akcent 2 2 50" xfId="6700"/>
    <cellStyle name="Akcent 2 2 51" xfId="6701"/>
    <cellStyle name="Akcent 2 2 52" xfId="6702"/>
    <cellStyle name="Akcent 2 2 6" xfId="6703"/>
    <cellStyle name="Akcent 2 2 6 2" xfId="6704"/>
    <cellStyle name="Akcent 2 2 6 3" xfId="6705"/>
    <cellStyle name="Akcent 2 2 6 4" xfId="6706"/>
    <cellStyle name="Akcent 2 2 6 5" xfId="6707"/>
    <cellStyle name="Akcent 2 2 6 6" xfId="6708"/>
    <cellStyle name="Akcent 2 2 7" xfId="6709"/>
    <cellStyle name="Akcent 2 2 7 2" xfId="6710"/>
    <cellStyle name="Akcent 2 2 7 3" xfId="6711"/>
    <cellStyle name="Akcent 2 2 7 4" xfId="6712"/>
    <cellStyle name="Akcent 2 2 7 5" xfId="6713"/>
    <cellStyle name="Akcent 2 2 7 6" xfId="6714"/>
    <cellStyle name="Akcent 2 2 8" xfId="6715"/>
    <cellStyle name="Akcent 2 2 8 2" xfId="6716"/>
    <cellStyle name="Akcent 2 2 8 3" xfId="6717"/>
    <cellStyle name="Akcent 2 2 8 4" xfId="6718"/>
    <cellStyle name="Akcent 2 2 8 5" xfId="6719"/>
    <cellStyle name="Akcent 2 2 8 6" xfId="6720"/>
    <cellStyle name="Akcent 2 2 9" xfId="6721"/>
    <cellStyle name="Akcent 2 2 9 2" xfId="6722"/>
    <cellStyle name="Akcent 2 2 9 3" xfId="6723"/>
    <cellStyle name="Akcent 2 2 9 4" xfId="6724"/>
    <cellStyle name="Akcent 2 2 9 5" xfId="6725"/>
    <cellStyle name="Akcent 2 2 9 6" xfId="6726"/>
    <cellStyle name="Akcent 2 3" xfId="6727"/>
    <cellStyle name="Akcent 2 3 2" xfId="6728"/>
    <cellStyle name="Akcent 2 3 2 2" xfId="6729"/>
    <cellStyle name="Akcent 2 3 3" xfId="6730"/>
    <cellStyle name="Akcent 2 3 4" xfId="6731"/>
    <cellStyle name="Akcent 2 3 5" xfId="6732"/>
    <cellStyle name="Akcent 2 3 6" xfId="6733"/>
    <cellStyle name="Akcent 2 3 7" xfId="6734"/>
    <cellStyle name="Akcent 2 3 8" xfId="6735"/>
    <cellStyle name="Akcent 2 4" xfId="6736"/>
    <cellStyle name="Akcent 2 4 2" xfId="6737"/>
    <cellStyle name="Akcent 2 4 3" xfId="6738"/>
    <cellStyle name="Akcent 2 4 4" xfId="6739"/>
    <cellStyle name="Akcent 2 4 5" xfId="6740"/>
    <cellStyle name="Akcent 2 4 6" xfId="6741"/>
    <cellStyle name="Akcent 2 4 7" xfId="6742"/>
    <cellStyle name="Akcent 2 4 8" xfId="6743"/>
    <cellStyle name="Akcent 2 5" xfId="6744"/>
    <cellStyle name="Akcent 2 5 2" xfId="6745"/>
    <cellStyle name="Akcent 2 6" xfId="6746"/>
    <cellStyle name="Akcent 2 7" xfId="6747"/>
    <cellStyle name="Akcent 3 2" xfId="6748"/>
    <cellStyle name="Akcent 3 2 10" xfId="6749"/>
    <cellStyle name="Akcent 3 2 10 2" xfId="6750"/>
    <cellStyle name="Akcent 3 2 10 3" xfId="6751"/>
    <cellStyle name="Akcent 3 2 10 4" xfId="6752"/>
    <cellStyle name="Akcent 3 2 10 5" xfId="6753"/>
    <cellStyle name="Akcent 3 2 10 6" xfId="6754"/>
    <cellStyle name="Akcent 3 2 11" xfId="6755"/>
    <cellStyle name="Akcent 3 2 11 2" xfId="6756"/>
    <cellStyle name="Akcent 3 2 11 3" xfId="6757"/>
    <cellStyle name="Akcent 3 2 11 4" xfId="6758"/>
    <cellStyle name="Akcent 3 2 11 5" xfId="6759"/>
    <cellStyle name="Akcent 3 2 11 6" xfId="6760"/>
    <cellStyle name="Akcent 3 2 12" xfId="6761"/>
    <cellStyle name="Akcent 3 2 12 2" xfId="6762"/>
    <cellStyle name="Akcent 3 2 12 3" xfId="6763"/>
    <cellStyle name="Akcent 3 2 12 4" xfId="6764"/>
    <cellStyle name="Akcent 3 2 12 5" xfId="6765"/>
    <cellStyle name="Akcent 3 2 12 6" xfId="6766"/>
    <cellStyle name="Akcent 3 2 13" xfId="6767"/>
    <cellStyle name="Akcent 3 2 13 2" xfId="6768"/>
    <cellStyle name="Akcent 3 2 13 3" xfId="6769"/>
    <cellStyle name="Akcent 3 2 13 4" xfId="6770"/>
    <cellStyle name="Akcent 3 2 13 5" xfId="6771"/>
    <cellStyle name="Akcent 3 2 13 6" xfId="6772"/>
    <cellStyle name="Akcent 3 2 14" xfId="6773"/>
    <cellStyle name="Akcent 3 2 14 2" xfId="6774"/>
    <cellStyle name="Akcent 3 2 14 3" xfId="6775"/>
    <cellStyle name="Akcent 3 2 14 4" xfId="6776"/>
    <cellStyle name="Akcent 3 2 14 5" xfId="6777"/>
    <cellStyle name="Akcent 3 2 14 6" xfId="6778"/>
    <cellStyle name="Akcent 3 2 15" xfId="6779"/>
    <cellStyle name="Akcent 3 2 15 2" xfId="6780"/>
    <cellStyle name="Akcent 3 2 15 3" xfId="6781"/>
    <cellStyle name="Akcent 3 2 15 4" xfId="6782"/>
    <cellStyle name="Akcent 3 2 15 5" xfId="6783"/>
    <cellStyle name="Akcent 3 2 15 6" xfId="6784"/>
    <cellStyle name="Akcent 3 2 16" xfId="6785"/>
    <cellStyle name="Akcent 3 2 16 2" xfId="6786"/>
    <cellStyle name="Akcent 3 2 16 3" xfId="6787"/>
    <cellStyle name="Akcent 3 2 16 4" xfId="6788"/>
    <cellStyle name="Akcent 3 2 16 5" xfId="6789"/>
    <cellStyle name="Akcent 3 2 16 6" xfId="6790"/>
    <cellStyle name="Akcent 3 2 17" xfId="6791"/>
    <cellStyle name="Akcent 3 2 17 2" xfId="6792"/>
    <cellStyle name="Akcent 3 2 17 3" xfId="6793"/>
    <cellStyle name="Akcent 3 2 17 4" xfId="6794"/>
    <cellStyle name="Akcent 3 2 17 5" xfId="6795"/>
    <cellStyle name="Akcent 3 2 17 6" xfId="6796"/>
    <cellStyle name="Akcent 3 2 18" xfId="6797"/>
    <cellStyle name="Akcent 3 2 18 2" xfId="6798"/>
    <cellStyle name="Akcent 3 2 18 3" xfId="6799"/>
    <cellStyle name="Akcent 3 2 18 4" xfId="6800"/>
    <cellStyle name="Akcent 3 2 18 5" xfId="6801"/>
    <cellStyle name="Akcent 3 2 18 6" xfId="6802"/>
    <cellStyle name="Akcent 3 2 19" xfId="6803"/>
    <cellStyle name="Akcent 3 2 19 2" xfId="6804"/>
    <cellStyle name="Akcent 3 2 19 3" xfId="6805"/>
    <cellStyle name="Akcent 3 2 19 4" xfId="6806"/>
    <cellStyle name="Akcent 3 2 19 5" xfId="6807"/>
    <cellStyle name="Akcent 3 2 19 6" xfId="6808"/>
    <cellStyle name="Akcent 3 2 2" xfId="6809"/>
    <cellStyle name="Akcent 3 2 2 2" xfId="6810"/>
    <cellStyle name="Akcent 3 2 2 3" xfId="6811"/>
    <cellStyle name="Akcent 3 2 2 4" xfId="6812"/>
    <cellStyle name="Akcent 3 2 2 5" xfId="6813"/>
    <cellStyle name="Akcent 3 2 2 6" xfId="6814"/>
    <cellStyle name="Akcent 3 2 2 7" xfId="6815"/>
    <cellStyle name="Akcent 3 2 20" xfId="6816"/>
    <cellStyle name="Akcent 3 2 20 2" xfId="6817"/>
    <cellStyle name="Akcent 3 2 20 3" xfId="6818"/>
    <cellStyle name="Akcent 3 2 20 4" xfId="6819"/>
    <cellStyle name="Akcent 3 2 20 5" xfId="6820"/>
    <cellStyle name="Akcent 3 2 20 6" xfId="6821"/>
    <cellStyle name="Akcent 3 2 21" xfId="6822"/>
    <cellStyle name="Akcent 3 2 21 2" xfId="6823"/>
    <cellStyle name="Akcent 3 2 21 3" xfId="6824"/>
    <cellStyle name="Akcent 3 2 21 4" xfId="6825"/>
    <cellStyle name="Akcent 3 2 21 5" xfId="6826"/>
    <cellStyle name="Akcent 3 2 21 6" xfId="6827"/>
    <cellStyle name="Akcent 3 2 22" xfId="6828"/>
    <cellStyle name="Akcent 3 2 22 2" xfId="6829"/>
    <cellStyle name="Akcent 3 2 22 3" xfId="6830"/>
    <cellStyle name="Akcent 3 2 22 4" xfId="6831"/>
    <cellStyle name="Akcent 3 2 22 5" xfId="6832"/>
    <cellStyle name="Akcent 3 2 22 6" xfId="6833"/>
    <cellStyle name="Akcent 3 2 23" xfId="6834"/>
    <cellStyle name="Akcent 3 2 23 2" xfId="6835"/>
    <cellStyle name="Akcent 3 2 23 3" xfId="6836"/>
    <cellStyle name="Akcent 3 2 23 4" xfId="6837"/>
    <cellStyle name="Akcent 3 2 23 5" xfId="6838"/>
    <cellStyle name="Akcent 3 2 23 6" xfId="6839"/>
    <cellStyle name="Akcent 3 2 24" xfId="6840"/>
    <cellStyle name="Akcent 3 2 24 2" xfId="6841"/>
    <cellStyle name="Akcent 3 2 24 3" xfId="6842"/>
    <cellStyle name="Akcent 3 2 24 4" xfId="6843"/>
    <cellStyle name="Akcent 3 2 24 5" xfId="6844"/>
    <cellStyle name="Akcent 3 2 24 6" xfId="6845"/>
    <cellStyle name="Akcent 3 2 25" xfId="6846"/>
    <cellStyle name="Akcent 3 2 25 2" xfId="6847"/>
    <cellStyle name="Akcent 3 2 25 3" xfId="6848"/>
    <cellStyle name="Akcent 3 2 25 4" xfId="6849"/>
    <cellStyle name="Akcent 3 2 25 5" xfId="6850"/>
    <cellStyle name="Akcent 3 2 25 6" xfId="6851"/>
    <cellStyle name="Akcent 3 2 26" xfId="6852"/>
    <cellStyle name="Akcent 3 2 26 2" xfId="6853"/>
    <cellStyle name="Akcent 3 2 26 3" xfId="6854"/>
    <cellStyle name="Akcent 3 2 26 4" xfId="6855"/>
    <cellStyle name="Akcent 3 2 26 5" xfId="6856"/>
    <cellStyle name="Akcent 3 2 26 6" xfId="6857"/>
    <cellStyle name="Akcent 3 2 27" xfId="6858"/>
    <cellStyle name="Akcent 3 2 27 2" xfId="6859"/>
    <cellStyle name="Akcent 3 2 27 3" xfId="6860"/>
    <cellStyle name="Akcent 3 2 27 4" xfId="6861"/>
    <cellStyle name="Akcent 3 2 27 5" xfId="6862"/>
    <cellStyle name="Akcent 3 2 27 6" xfId="6863"/>
    <cellStyle name="Akcent 3 2 28" xfId="6864"/>
    <cellStyle name="Akcent 3 2 28 2" xfId="6865"/>
    <cellStyle name="Akcent 3 2 28 3" xfId="6866"/>
    <cellStyle name="Akcent 3 2 28 4" xfId="6867"/>
    <cellStyle name="Akcent 3 2 28 5" xfId="6868"/>
    <cellStyle name="Akcent 3 2 28 6" xfId="6869"/>
    <cellStyle name="Akcent 3 2 29" xfId="6870"/>
    <cellStyle name="Akcent 3 2 29 2" xfId="6871"/>
    <cellStyle name="Akcent 3 2 3" xfId="6872"/>
    <cellStyle name="Akcent 3 2 3 2" xfId="6873"/>
    <cellStyle name="Akcent 3 2 3 3" xfId="6874"/>
    <cellStyle name="Akcent 3 2 3 4" xfId="6875"/>
    <cellStyle name="Akcent 3 2 3 5" xfId="6876"/>
    <cellStyle name="Akcent 3 2 3 6" xfId="6877"/>
    <cellStyle name="Akcent 3 2 30" xfId="6878"/>
    <cellStyle name="Akcent 3 2 30 2" xfId="6879"/>
    <cellStyle name="Akcent 3 2 31" xfId="6880"/>
    <cellStyle name="Akcent 3 2 31 2" xfId="6881"/>
    <cellStyle name="Akcent 3 2 32" xfId="6882"/>
    <cellStyle name="Akcent 3 2 32 2" xfId="6883"/>
    <cellStyle name="Akcent 3 2 33" xfId="6884"/>
    <cellStyle name="Akcent 3 2 34" xfId="6885"/>
    <cellStyle name="Akcent 3 2 35" xfId="6886"/>
    <cellStyle name="Akcent 3 2 36" xfId="6887"/>
    <cellStyle name="Akcent 3 2 37" xfId="6888"/>
    <cellStyle name="Akcent 3 2 38" xfId="6889"/>
    <cellStyle name="Akcent 3 2 39" xfId="6890"/>
    <cellStyle name="Akcent 3 2 4" xfId="6891"/>
    <cellStyle name="Akcent 3 2 4 2" xfId="6892"/>
    <cellStyle name="Akcent 3 2 4 3" xfId="6893"/>
    <cellStyle name="Akcent 3 2 4 4" xfId="6894"/>
    <cellStyle name="Akcent 3 2 4 5" xfId="6895"/>
    <cellStyle name="Akcent 3 2 4 6" xfId="6896"/>
    <cellStyle name="Akcent 3 2 40" xfId="6897"/>
    <cellStyle name="Akcent 3 2 41" xfId="6898"/>
    <cellStyle name="Akcent 3 2 42" xfId="6899"/>
    <cellStyle name="Akcent 3 2 43" xfId="6900"/>
    <cellStyle name="Akcent 3 2 44" xfId="6901"/>
    <cellStyle name="Akcent 3 2 45" xfId="6902"/>
    <cellStyle name="Akcent 3 2 46" xfId="6903"/>
    <cellStyle name="Akcent 3 2 47" xfId="6904"/>
    <cellStyle name="Akcent 3 2 48" xfId="6905"/>
    <cellStyle name="Akcent 3 2 49" xfId="6906"/>
    <cellStyle name="Akcent 3 2 5" xfId="6907"/>
    <cellStyle name="Akcent 3 2 5 2" xfId="6908"/>
    <cellStyle name="Akcent 3 2 5 3" xfId="6909"/>
    <cellStyle name="Akcent 3 2 5 4" xfId="6910"/>
    <cellStyle name="Akcent 3 2 5 5" xfId="6911"/>
    <cellStyle name="Akcent 3 2 5 6" xfId="6912"/>
    <cellStyle name="Akcent 3 2 50" xfId="6913"/>
    <cellStyle name="Akcent 3 2 51" xfId="6914"/>
    <cellStyle name="Akcent 3 2 52" xfId="6915"/>
    <cellStyle name="Akcent 3 2 6" xfId="6916"/>
    <cellStyle name="Akcent 3 2 6 2" xfId="6917"/>
    <cellStyle name="Akcent 3 2 6 3" xfId="6918"/>
    <cellStyle name="Akcent 3 2 6 4" xfId="6919"/>
    <cellStyle name="Akcent 3 2 6 5" xfId="6920"/>
    <cellStyle name="Akcent 3 2 6 6" xfId="6921"/>
    <cellStyle name="Akcent 3 2 7" xfId="6922"/>
    <cellStyle name="Akcent 3 2 7 2" xfId="6923"/>
    <cellStyle name="Akcent 3 2 7 3" xfId="6924"/>
    <cellStyle name="Akcent 3 2 7 4" xfId="6925"/>
    <cellStyle name="Akcent 3 2 7 5" xfId="6926"/>
    <cellStyle name="Akcent 3 2 7 6" xfId="6927"/>
    <cellStyle name="Akcent 3 2 8" xfId="6928"/>
    <cellStyle name="Akcent 3 2 8 2" xfId="6929"/>
    <cellStyle name="Akcent 3 2 8 3" xfId="6930"/>
    <cellStyle name="Akcent 3 2 8 4" xfId="6931"/>
    <cellStyle name="Akcent 3 2 8 5" xfId="6932"/>
    <cellStyle name="Akcent 3 2 8 6" xfId="6933"/>
    <cellStyle name="Akcent 3 2 9" xfId="6934"/>
    <cellStyle name="Akcent 3 2 9 2" xfId="6935"/>
    <cellStyle name="Akcent 3 2 9 3" xfId="6936"/>
    <cellStyle name="Akcent 3 2 9 4" xfId="6937"/>
    <cellStyle name="Akcent 3 2 9 5" xfId="6938"/>
    <cellStyle name="Akcent 3 2 9 6" xfId="6939"/>
    <cellStyle name="Akcent 3 3" xfId="6940"/>
    <cellStyle name="Akcent 3 3 2" xfId="6941"/>
    <cellStyle name="Akcent 3 3 2 2" xfId="6942"/>
    <cellStyle name="Akcent 3 3 3" xfId="6943"/>
    <cellStyle name="Akcent 3 3 4" xfId="6944"/>
    <cellStyle name="Akcent 3 3 5" xfId="6945"/>
    <cellStyle name="Akcent 3 3 6" xfId="6946"/>
    <cellStyle name="Akcent 3 3 7" xfId="6947"/>
    <cellStyle name="Akcent 3 3 8" xfId="6948"/>
    <cellStyle name="Akcent 3 4" xfId="6949"/>
    <cellStyle name="Akcent 3 4 2" xfId="6950"/>
    <cellStyle name="Akcent 3 4 3" xfId="6951"/>
    <cellStyle name="Akcent 3 4 4" xfId="6952"/>
    <cellStyle name="Akcent 3 4 5" xfId="6953"/>
    <cellStyle name="Akcent 3 4 6" xfId="6954"/>
    <cellStyle name="Akcent 3 4 7" xfId="6955"/>
    <cellStyle name="Akcent 3 4 8" xfId="6956"/>
    <cellStyle name="Akcent 3 5" xfId="6957"/>
    <cellStyle name="Akcent 3 5 2" xfId="6958"/>
    <cellStyle name="Akcent 3 6" xfId="6959"/>
    <cellStyle name="Akcent 3 7" xfId="6960"/>
    <cellStyle name="Akcent 4 2" xfId="6961"/>
    <cellStyle name="Akcent 4 2 10" xfId="6962"/>
    <cellStyle name="Akcent 4 2 10 2" xfId="6963"/>
    <cellStyle name="Akcent 4 2 10 3" xfId="6964"/>
    <cellStyle name="Akcent 4 2 10 4" xfId="6965"/>
    <cellStyle name="Akcent 4 2 10 5" xfId="6966"/>
    <cellStyle name="Akcent 4 2 10 6" xfId="6967"/>
    <cellStyle name="Akcent 4 2 11" xfId="6968"/>
    <cellStyle name="Akcent 4 2 11 2" xfId="6969"/>
    <cellStyle name="Akcent 4 2 11 3" xfId="6970"/>
    <cellStyle name="Akcent 4 2 11 4" xfId="6971"/>
    <cellStyle name="Akcent 4 2 11 5" xfId="6972"/>
    <cellStyle name="Akcent 4 2 11 6" xfId="6973"/>
    <cellStyle name="Akcent 4 2 12" xfId="6974"/>
    <cellStyle name="Akcent 4 2 12 2" xfId="6975"/>
    <cellStyle name="Akcent 4 2 12 3" xfId="6976"/>
    <cellStyle name="Akcent 4 2 12 4" xfId="6977"/>
    <cellStyle name="Akcent 4 2 12 5" xfId="6978"/>
    <cellStyle name="Akcent 4 2 12 6" xfId="6979"/>
    <cellStyle name="Akcent 4 2 13" xfId="6980"/>
    <cellStyle name="Akcent 4 2 13 2" xfId="6981"/>
    <cellStyle name="Akcent 4 2 13 3" xfId="6982"/>
    <cellStyle name="Akcent 4 2 13 4" xfId="6983"/>
    <cellStyle name="Akcent 4 2 13 5" xfId="6984"/>
    <cellStyle name="Akcent 4 2 13 6" xfId="6985"/>
    <cellStyle name="Akcent 4 2 14" xfId="6986"/>
    <cellStyle name="Akcent 4 2 14 2" xfId="6987"/>
    <cellStyle name="Akcent 4 2 14 3" xfId="6988"/>
    <cellStyle name="Akcent 4 2 14 4" xfId="6989"/>
    <cellStyle name="Akcent 4 2 14 5" xfId="6990"/>
    <cellStyle name="Akcent 4 2 14 6" xfId="6991"/>
    <cellStyle name="Akcent 4 2 15" xfId="6992"/>
    <cellStyle name="Akcent 4 2 15 2" xfId="6993"/>
    <cellStyle name="Akcent 4 2 15 3" xfId="6994"/>
    <cellStyle name="Akcent 4 2 15 4" xfId="6995"/>
    <cellStyle name="Akcent 4 2 15 5" xfId="6996"/>
    <cellStyle name="Akcent 4 2 15 6" xfId="6997"/>
    <cellStyle name="Akcent 4 2 16" xfId="6998"/>
    <cellStyle name="Akcent 4 2 16 2" xfId="6999"/>
    <cellStyle name="Akcent 4 2 16 3" xfId="7000"/>
    <cellStyle name="Akcent 4 2 16 4" xfId="7001"/>
    <cellStyle name="Akcent 4 2 16 5" xfId="7002"/>
    <cellStyle name="Akcent 4 2 16 6" xfId="7003"/>
    <cellStyle name="Akcent 4 2 17" xfId="7004"/>
    <cellStyle name="Akcent 4 2 17 2" xfId="7005"/>
    <cellStyle name="Akcent 4 2 17 3" xfId="7006"/>
    <cellStyle name="Akcent 4 2 17 4" xfId="7007"/>
    <cellStyle name="Akcent 4 2 17 5" xfId="7008"/>
    <cellStyle name="Akcent 4 2 17 6" xfId="7009"/>
    <cellStyle name="Akcent 4 2 18" xfId="7010"/>
    <cellStyle name="Akcent 4 2 18 2" xfId="7011"/>
    <cellStyle name="Akcent 4 2 18 3" xfId="7012"/>
    <cellStyle name="Akcent 4 2 18 4" xfId="7013"/>
    <cellStyle name="Akcent 4 2 18 5" xfId="7014"/>
    <cellStyle name="Akcent 4 2 18 6" xfId="7015"/>
    <cellStyle name="Akcent 4 2 19" xfId="7016"/>
    <cellStyle name="Akcent 4 2 19 2" xfId="7017"/>
    <cellStyle name="Akcent 4 2 19 3" xfId="7018"/>
    <cellStyle name="Akcent 4 2 19 4" xfId="7019"/>
    <cellStyle name="Akcent 4 2 19 5" xfId="7020"/>
    <cellStyle name="Akcent 4 2 19 6" xfId="7021"/>
    <cellStyle name="Akcent 4 2 2" xfId="7022"/>
    <cellStyle name="Akcent 4 2 2 2" xfId="7023"/>
    <cellStyle name="Akcent 4 2 2 3" xfId="7024"/>
    <cellStyle name="Akcent 4 2 2 4" xfId="7025"/>
    <cellStyle name="Akcent 4 2 2 5" xfId="7026"/>
    <cellStyle name="Akcent 4 2 2 6" xfId="7027"/>
    <cellStyle name="Akcent 4 2 2 7" xfId="7028"/>
    <cellStyle name="Akcent 4 2 20" xfId="7029"/>
    <cellStyle name="Akcent 4 2 20 2" xfId="7030"/>
    <cellStyle name="Akcent 4 2 20 3" xfId="7031"/>
    <cellStyle name="Akcent 4 2 20 4" xfId="7032"/>
    <cellStyle name="Akcent 4 2 20 5" xfId="7033"/>
    <cellStyle name="Akcent 4 2 20 6" xfId="7034"/>
    <cellStyle name="Akcent 4 2 21" xfId="7035"/>
    <cellStyle name="Akcent 4 2 21 2" xfId="7036"/>
    <cellStyle name="Akcent 4 2 21 3" xfId="7037"/>
    <cellStyle name="Akcent 4 2 21 4" xfId="7038"/>
    <cellStyle name="Akcent 4 2 21 5" xfId="7039"/>
    <cellStyle name="Akcent 4 2 21 6" xfId="7040"/>
    <cellStyle name="Akcent 4 2 22" xfId="7041"/>
    <cellStyle name="Akcent 4 2 22 2" xfId="7042"/>
    <cellStyle name="Akcent 4 2 22 3" xfId="7043"/>
    <cellStyle name="Akcent 4 2 22 4" xfId="7044"/>
    <cellStyle name="Akcent 4 2 22 5" xfId="7045"/>
    <cellStyle name="Akcent 4 2 22 6" xfId="7046"/>
    <cellStyle name="Akcent 4 2 23" xfId="7047"/>
    <cellStyle name="Akcent 4 2 23 2" xfId="7048"/>
    <cellStyle name="Akcent 4 2 23 3" xfId="7049"/>
    <cellStyle name="Akcent 4 2 23 4" xfId="7050"/>
    <cellStyle name="Akcent 4 2 23 5" xfId="7051"/>
    <cellStyle name="Akcent 4 2 23 6" xfId="7052"/>
    <cellStyle name="Akcent 4 2 24" xfId="7053"/>
    <cellStyle name="Akcent 4 2 24 2" xfId="7054"/>
    <cellStyle name="Akcent 4 2 24 3" xfId="7055"/>
    <cellStyle name="Akcent 4 2 24 4" xfId="7056"/>
    <cellStyle name="Akcent 4 2 24 5" xfId="7057"/>
    <cellStyle name="Akcent 4 2 24 6" xfId="7058"/>
    <cellStyle name="Akcent 4 2 25" xfId="7059"/>
    <cellStyle name="Akcent 4 2 25 2" xfId="7060"/>
    <cellStyle name="Akcent 4 2 25 3" xfId="7061"/>
    <cellStyle name="Akcent 4 2 25 4" xfId="7062"/>
    <cellStyle name="Akcent 4 2 25 5" xfId="7063"/>
    <cellStyle name="Akcent 4 2 25 6" xfId="7064"/>
    <cellStyle name="Akcent 4 2 26" xfId="7065"/>
    <cellStyle name="Akcent 4 2 26 2" xfId="7066"/>
    <cellStyle name="Akcent 4 2 26 3" xfId="7067"/>
    <cellStyle name="Akcent 4 2 26 4" xfId="7068"/>
    <cellStyle name="Akcent 4 2 26 5" xfId="7069"/>
    <cellStyle name="Akcent 4 2 26 6" xfId="7070"/>
    <cellStyle name="Akcent 4 2 27" xfId="7071"/>
    <cellStyle name="Akcent 4 2 27 2" xfId="7072"/>
    <cellStyle name="Akcent 4 2 27 3" xfId="7073"/>
    <cellStyle name="Akcent 4 2 27 4" xfId="7074"/>
    <cellStyle name="Akcent 4 2 27 5" xfId="7075"/>
    <cellStyle name="Akcent 4 2 27 6" xfId="7076"/>
    <cellStyle name="Akcent 4 2 28" xfId="7077"/>
    <cellStyle name="Akcent 4 2 28 2" xfId="7078"/>
    <cellStyle name="Akcent 4 2 28 3" xfId="7079"/>
    <cellStyle name="Akcent 4 2 28 4" xfId="7080"/>
    <cellStyle name="Akcent 4 2 28 5" xfId="7081"/>
    <cellStyle name="Akcent 4 2 28 6" xfId="7082"/>
    <cellStyle name="Akcent 4 2 29" xfId="7083"/>
    <cellStyle name="Akcent 4 2 29 2" xfId="7084"/>
    <cellStyle name="Akcent 4 2 3" xfId="7085"/>
    <cellStyle name="Akcent 4 2 3 2" xfId="7086"/>
    <cellStyle name="Akcent 4 2 3 3" xfId="7087"/>
    <cellStyle name="Akcent 4 2 3 4" xfId="7088"/>
    <cellStyle name="Akcent 4 2 3 5" xfId="7089"/>
    <cellStyle name="Akcent 4 2 3 6" xfId="7090"/>
    <cellStyle name="Akcent 4 2 30" xfId="7091"/>
    <cellStyle name="Akcent 4 2 30 2" xfId="7092"/>
    <cellStyle name="Akcent 4 2 31" xfId="7093"/>
    <cellStyle name="Akcent 4 2 31 2" xfId="7094"/>
    <cellStyle name="Akcent 4 2 32" xfId="7095"/>
    <cellStyle name="Akcent 4 2 32 2" xfId="7096"/>
    <cellStyle name="Akcent 4 2 33" xfId="7097"/>
    <cellStyle name="Akcent 4 2 34" xfId="7098"/>
    <cellStyle name="Akcent 4 2 35" xfId="7099"/>
    <cellStyle name="Akcent 4 2 36" xfId="7100"/>
    <cellStyle name="Akcent 4 2 37" xfId="7101"/>
    <cellStyle name="Akcent 4 2 38" xfId="7102"/>
    <cellStyle name="Akcent 4 2 39" xfId="7103"/>
    <cellStyle name="Akcent 4 2 4" xfId="7104"/>
    <cellStyle name="Akcent 4 2 4 2" xfId="7105"/>
    <cellStyle name="Akcent 4 2 4 3" xfId="7106"/>
    <cellStyle name="Akcent 4 2 4 4" xfId="7107"/>
    <cellStyle name="Akcent 4 2 4 5" xfId="7108"/>
    <cellStyle name="Akcent 4 2 4 6" xfId="7109"/>
    <cellStyle name="Akcent 4 2 40" xfId="7110"/>
    <cellStyle name="Akcent 4 2 41" xfId="7111"/>
    <cellStyle name="Akcent 4 2 42" xfId="7112"/>
    <cellStyle name="Akcent 4 2 43" xfId="7113"/>
    <cellStyle name="Akcent 4 2 44" xfId="7114"/>
    <cellStyle name="Akcent 4 2 45" xfId="7115"/>
    <cellStyle name="Akcent 4 2 46" xfId="7116"/>
    <cellStyle name="Akcent 4 2 47" xfId="7117"/>
    <cellStyle name="Akcent 4 2 48" xfId="7118"/>
    <cellStyle name="Akcent 4 2 49" xfId="7119"/>
    <cellStyle name="Akcent 4 2 5" xfId="7120"/>
    <cellStyle name="Akcent 4 2 5 2" xfId="7121"/>
    <cellStyle name="Akcent 4 2 5 3" xfId="7122"/>
    <cellStyle name="Akcent 4 2 5 4" xfId="7123"/>
    <cellStyle name="Akcent 4 2 5 5" xfId="7124"/>
    <cellStyle name="Akcent 4 2 5 6" xfId="7125"/>
    <cellStyle name="Akcent 4 2 50" xfId="7126"/>
    <cellStyle name="Akcent 4 2 51" xfId="7127"/>
    <cellStyle name="Akcent 4 2 52" xfId="7128"/>
    <cellStyle name="Akcent 4 2 6" xfId="7129"/>
    <cellStyle name="Akcent 4 2 6 2" xfId="7130"/>
    <cellStyle name="Akcent 4 2 6 3" xfId="7131"/>
    <cellStyle name="Akcent 4 2 6 4" xfId="7132"/>
    <cellStyle name="Akcent 4 2 6 5" xfId="7133"/>
    <cellStyle name="Akcent 4 2 6 6" xfId="7134"/>
    <cellStyle name="Akcent 4 2 7" xfId="7135"/>
    <cellStyle name="Akcent 4 2 7 2" xfId="7136"/>
    <cellStyle name="Akcent 4 2 7 3" xfId="7137"/>
    <cellStyle name="Akcent 4 2 7 4" xfId="7138"/>
    <cellStyle name="Akcent 4 2 7 5" xfId="7139"/>
    <cellStyle name="Akcent 4 2 7 6" xfId="7140"/>
    <cellStyle name="Akcent 4 2 8" xfId="7141"/>
    <cellStyle name="Akcent 4 2 8 2" xfId="7142"/>
    <cellStyle name="Akcent 4 2 8 3" xfId="7143"/>
    <cellStyle name="Akcent 4 2 8 4" xfId="7144"/>
    <cellStyle name="Akcent 4 2 8 5" xfId="7145"/>
    <cellStyle name="Akcent 4 2 8 6" xfId="7146"/>
    <cellStyle name="Akcent 4 2 9" xfId="7147"/>
    <cellStyle name="Akcent 4 2 9 2" xfId="7148"/>
    <cellStyle name="Akcent 4 2 9 3" xfId="7149"/>
    <cellStyle name="Akcent 4 2 9 4" xfId="7150"/>
    <cellStyle name="Akcent 4 2 9 5" xfId="7151"/>
    <cellStyle name="Akcent 4 2 9 6" xfId="7152"/>
    <cellStyle name="Akcent 4 3" xfId="7153"/>
    <cellStyle name="Akcent 4 3 2" xfId="7154"/>
    <cellStyle name="Akcent 4 3 2 2" xfId="7155"/>
    <cellStyle name="Akcent 4 3 3" xfId="7156"/>
    <cellStyle name="Akcent 4 3 4" xfId="7157"/>
    <cellStyle name="Akcent 4 3 5" xfId="7158"/>
    <cellStyle name="Akcent 4 3 6" xfId="7159"/>
    <cellStyle name="Akcent 4 3 7" xfId="7160"/>
    <cellStyle name="Akcent 4 3 8" xfId="7161"/>
    <cellStyle name="Akcent 4 4" xfId="7162"/>
    <cellStyle name="Akcent 4 4 2" xfId="7163"/>
    <cellStyle name="Akcent 4 4 3" xfId="7164"/>
    <cellStyle name="Akcent 4 4 4" xfId="7165"/>
    <cellStyle name="Akcent 4 4 5" xfId="7166"/>
    <cellStyle name="Akcent 4 4 6" xfId="7167"/>
    <cellStyle name="Akcent 4 4 7" xfId="7168"/>
    <cellStyle name="Akcent 4 4 8" xfId="7169"/>
    <cellStyle name="Akcent 4 5" xfId="7170"/>
    <cellStyle name="Akcent 4 5 2" xfId="7171"/>
    <cellStyle name="Akcent 4 6" xfId="7172"/>
    <cellStyle name="Akcent 4 7" xfId="7173"/>
    <cellStyle name="Akcent 5 2" xfId="7174"/>
    <cellStyle name="Akcent 5 2 10" xfId="7175"/>
    <cellStyle name="Akcent 5 2 10 2" xfId="7176"/>
    <cellStyle name="Akcent 5 2 10 3" xfId="7177"/>
    <cellStyle name="Akcent 5 2 10 4" xfId="7178"/>
    <cellStyle name="Akcent 5 2 10 5" xfId="7179"/>
    <cellStyle name="Akcent 5 2 10 6" xfId="7180"/>
    <cellStyle name="Akcent 5 2 11" xfId="7181"/>
    <cellStyle name="Akcent 5 2 11 2" xfId="7182"/>
    <cellStyle name="Akcent 5 2 11 3" xfId="7183"/>
    <cellStyle name="Akcent 5 2 11 4" xfId="7184"/>
    <cellStyle name="Akcent 5 2 11 5" xfId="7185"/>
    <cellStyle name="Akcent 5 2 11 6" xfId="7186"/>
    <cellStyle name="Akcent 5 2 12" xfId="7187"/>
    <cellStyle name="Akcent 5 2 12 2" xfId="7188"/>
    <cellStyle name="Akcent 5 2 12 3" xfId="7189"/>
    <cellStyle name="Akcent 5 2 12 4" xfId="7190"/>
    <cellStyle name="Akcent 5 2 12 5" xfId="7191"/>
    <cellStyle name="Akcent 5 2 12 6" xfId="7192"/>
    <cellStyle name="Akcent 5 2 13" xfId="7193"/>
    <cellStyle name="Akcent 5 2 13 2" xfId="7194"/>
    <cellStyle name="Akcent 5 2 13 3" xfId="7195"/>
    <cellStyle name="Akcent 5 2 13 4" xfId="7196"/>
    <cellStyle name="Akcent 5 2 13 5" xfId="7197"/>
    <cellStyle name="Akcent 5 2 13 6" xfId="7198"/>
    <cellStyle name="Akcent 5 2 14" xfId="7199"/>
    <cellStyle name="Akcent 5 2 14 2" xfId="7200"/>
    <cellStyle name="Akcent 5 2 14 3" xfId="7201"/>
    <cellStyle name="Akcent 5 2 14 4" xfId="7202"/>
    <cellStyle name="Akcent 5 2 14 5" xfId="7203"/>
    <cellStyle name="Akcent 5 2 14 6" xfId="7204"/>
    <cellStyle name="Akcent 5 2 15" xfId="7205"/>
    <cellStyle name="Akcent 5 2 15 2" xfId="7206"/>
    <cellStyle name="Akcent 5 2 15 3" xfId="7207"/>
    <cellStyle name="Akcent 5 2 15 4" xfId="7208"/>
    <cellStyle name="Akcent 5 2 15 5" xfId="7209"/>
    <cellStyle name="Akcent 5 2 15 6" xfId="7210"/>
    <cellStyle name="Akcent 5 2 16" xfId="7211"/>
    <cellStyle name="Akcent 5 2 16 2" xfId="7212"/>
    <cellStyle name="Akcent 5 2 16 3" xfId="7213"/>
    <cellStyle name="Akcent 5 2 16 4" xfId="7214"/>
    <cellStyle name="Akcent 5 2 16 5" xfId="7215"/>
    <cellStyle name="Akcent 5 2 16 6" xfId="7216"/>
    <cellStyle name="Akcent 5 2 17" xfId="7217"/>
    <cellStyle name="Akcent 5 2 17 2" xfId="7218"/>
    <cellStyle name="Akcent 5 2 17 3" xfId="7219"/>
    <cellStyle name="Akcent 5 2 17 4" xfId="7220"/>
    <cellStyle name="Akcent 5 2 17 5" xfId="7221"/>
    <cellStyle name="Akcent 5 2 17 6" xfId="7222"/>
    <cellStyle name="Akcent 5 2 18" xfId="7223"/>
    <cellStyle name="Akcent 5 2 18 2" xfId="7224"/>
    <cellStyle name="Akcent 5 2 18 3" xfId="7225"/>
    <cellStyle name="Akcent 5 2 18 4" xfId="7226"/>
    <cellStyle name="Akcent 5 2 18 5" xfId="7227"/>
    <cellStyle name="Akcent 5 2 18 6" xfId="7228"/>
    <cellStyle name="Akcent 5 2 19" xfId="7229"/>
    <cellStyle name="Akcent 5 2 19 2" xfId="7230"/>
    <cellStyle name="Akcent 5 2 19 3" xfId="7231"/>
    <cellStyle name="Akcent 5 2 19 4" xfId="7232"/>
    <cellStyle name="Akcent 5 2 19 5" xfId="7233"/>
    <cellStyle name="Akcent 5 2 19 6" xfId="7234"/>
    <cellStyle name="Akcent 5 2 2" xfId="7235"/>
    <cellStyle name="Akcent 5 2 2 2" xfId="7236"/>
    <cellStyle name="Akcent 5 2 2 3" xfId="7237"/>
    <cellStyle name="Akcent 5 2 2 4" xfId="7238"/>
    <cellStyle name="Akcent 5 2 2 5" xfId="7239"/>
    <cellStyle name="Akcent 5 2 2 6" xfId="7240"/>
    <cellStyle name="Akcent 5 2 2 7" xfId="7241"/>
    <cellStyle name="Akcent 5 2 20" xfId="7242"/>
    <cellStyle name="Akcent 5 2 20 2" xfId="7243"/>
    <cellStyle name="Akcent 5 2 20 3" xfId="7244"/>
    <cellStyle name="Akcent 5 2 20 4" xfId="7245"/>
    <cellStyle name="Akcent 5 2 20 5" xfId="7246"/>
    <cellStyle name="Akcent 5 2 20 6" xfId="7247"/>
    <cellStyle name="Akcent 5 2 21" xfId="7248"/>
    <cellStyle name="Akcent 5 2 21 2" xfId="7249"/>
    <cellStyle name="Akcent 5 2 21 3" xfId="7250"/>
    <cellStyle name="Akcent 5 2 21 4" xfId="7251"/>
    <cellStyle name="Akcent 5 2 21 5" xfId="7252"/>
    <cellStyle name="Akcent 5 2 21 6" xfId="7253"/>
    <cellStyle name="Akcent 5 2 22" xfId="7254"/>
    <cellStyle name="Akcent 5 2 22 2" xfId="7255"/>
    <cellStyle name="Akcent 5 2 22 3" xfId="7256"/>
    <cellStyle name="Akcent 5 2 22 4" xfId="7257"/>
    <cellStyle name="Akcent 5 2 22 5" xfId="7258"/>
    <cellStyle name="Akcent 5 2 22 6" xfId="7259"/>
    <cellStyle name="Akcent 5 2 23" xfId="7260"/>
    <cellStyle name="Akcent 5 2 23 2" xfId="7261"/>
    <cellStyle name="Akcent 5 2 23 3" xfId="7262"/>
    <cellStyle name="Akcent 5 2 23 4" xfId="7263"/>
    <cellStyle name="Akcent 5 2 23 5" xfId="7264"/>
    <cellStyle name="Akcent 5 2 23 6" xfId="7265"/>
    <cellStyle name="Akcent 5 2 24" xfId="7266"/>
    <cellStyle name="Akcent 5 2 24 2" xfId="7267"/>
    <cellStyle name="Akcent 5 2 24 3" xfId="7268"/>
    <cellStyle name="Akcent 5 2 24 4" xfId="7269"/>
    <cellStyle name="Akcent 5 2 24 5" xfId="7270"/>
    <cellStyle name="Akcent 5 2 24 6" xfId="7271"/>
    <cellStyle name="Akcent 5 2 25" xfId="7272"/>
    <cellStyle name="Akcent 5 2 25 2" xfId="7273"/>
    <cellStyle name="Akcent 5 2 25 3" xfId="7274"/>
    <cellStyle name="Akcent 5 2 25 4" xfId="7275"/>
    <cellStyle name="Akcent 5 2 25 5" xfId="7276"/>
    <cellStyle name="Akcent 5 2 25 6" xfId="7277"/>
    <cellStyle name="Akcent 5 2 26" xfId="7278"/>
    <cellStyle name="Akcent 5 2 26 2" xfId="7279"/>
    <cellStyle name="Akcent 5 2 26 3" xfId="7280"/>
    <cellStyle name="Akcent 5 2 26 4" xfId="7281"/>
    <cellStyle name="Akcent 5 2 26 5" xfId="7282"/>
    <cellStyle name="Akcent 5 2 26 6" xfId="7283"/>
    <cellStyle name="Akcent 5 2 27" xfId="7284"/>
    <cellStyle name="Akcent 5 2 27 2" xfId="7285"/>
    <cellStyle name="Akcent 5 2 27 3" xfId="7286"/>
    <cellStyle name="Akcent 5 2 27 4" xfId="7287"/>
    <cellStyle name="Akcent 5 2 27 5" xfId="7288"/>
    <cellStyle name="Akcent 5 2 27 6" xfId="7289"/>
    <cellStyle name="Akcent 5 2 28" xfId="7290"/>
    <cellStyle name="Akcent 5 2 28 2" xfId="7291"/>
    <cellStyle name="Akcent 5 2 28 3" xfId="7292"/>
    <cellStyle name="Akcent 5 2 28 4" xfId="7293"/>
    <cellStyle name="Akcent 5 2 28 5" xfId="7294"/>
    <cellStyle name="Akcent 5 2 28 6" xfId="7295"/>
    <cellStyle name="Akcent 5 2 29" xfId="7296"/>
    <cellStyle name="Akcent 5 2 29 2" xfId="7297"/>
    <cellStyle name="Akcent 5 2 3" xfId="7298"/>
    <cellStyle name="Akcent 5 2 3 2" xfId="7299"/>
    <cellStyle name="Akcent 5 2 3 3" xfId="7300"/>
    <cellStyle name="Akcent 5 2 3 4" xfId="7301"/>
    <cellStyle name="Akcent 5 2 3 5" xfId="7302"/>
    <cellStyle name="Akcent 5 2 3 6" xfId="7303"/>
    <cellStyle name="Akcent 5 2 30" xfId="7304"/>
    <cellStyle name="Akcent 5 2 30 2" xfId="7305"/>
    <cellStyle name="Akcent 5 2 31" xfId="7306"/>
    <cellStyle name="Akcent 5 2 31 2" xfId="7307"/>
    <cellStyle name="Akcent 5 2 32" xfId="7308"/>
    <cellStyle name="Akcent 5 2 32 2" xfId="7309"/>
    <cellStyle name="Akcent 5 2 33" xfId="7310"/>
    <cellStyle name="Akcent 5 2 34" xfId="7311"/>
    <cellStyle name="Akcent 5 2 35" xfId="7312"/>
    <cellStyle name="Akcent 5 2 36" xfId="7313"/>
    <cellStyle name="Akcent 5 2 37" xfId="7314"/>
    <cellStyle name="Akcent 5 2 38" xfId="7315"/>
    <cellStyle name="Akcent 5 2 39" xfId="7316"/>
    <cellStyle name="Akcent 5 2 4" xfId="7317"/>
    <cellStyle name="Akcent 5 2 4 2" xfId="7318"/>
    <cellStyle name="Akcent 5 2 4 3" xfId="7319"/>
    <cellStyle name="Akcent 5 2 4 4" xfId="7320"/>
    <cellStyle name="Akcent 5 2 4 5" xfId="7321"/>
    <cellStyle name="Akcent 5 2 4 6" xfId="7322"/>
    <cellStyle name="Akcent 5 2 40" xfId="7323"/>
    <cellStyle name="Akcent 5 2 41" xfId="7324"/>
    <cellStyle name="Akcent 5 2 42" xfId="7325"/>
    <cellStyle name="Akcent 5 2 43" xfId="7326"/>
    <cellStyle name="Akcent 5 2 44" xfId="7327"/>
    <cellStyle name="Akcent 5 2 45" xfId="7328"/>
    <cellStyle name="Akcent 5 2 46" xfId="7329"/>
    <cellStyle name="Akcent 5 2 47" xfId="7330"/>
    <cellStyle name="Akcent 5 2 48" xfId="7331"/>
    <cellStyle name="Akcent 5 2 49" xfId="7332"/>
    <cellStyle name="Akcent 5 2 5" xfId="7333"/>
    <cellStyle name="Akcent 5 2 5 2" xfId="7334"/>
    <cellStyle name="Akcent 5 2 5 3" xfId="7335"/>
    <cellStyle name="Akcent 5 2 5 4" xfId="7336"/>
    <cellStyle name="Akcent 5 2 5 5" xfId="7337"/>
    <cellStyle name="Akcent 5 2 5 6" xfId="7338"/>
    <cellStyle name="Akcent 5 2 50" xfId="7339"/>
    <cellStyle name="Akcent 5 2 51" xfId="7340"/>
    <cellStyle name="Akcent 5 2 52" xfId="7341"/>
    <cellStyle name="Akcent 5 2 6" xfId="7342"/>
    <cellStyle name="Akcent 5 2 6 2" xfId="7343"/>
    <cellStyle name="Akcent 5 2 6 3" xfId="7344"/>
    <cellStyle name="Akcent 5 2 6 4" xfId="7345"/>
    <cellStyle name="Akcent 5 2 6 5" xfId="7346"/>
    <cellStyle name="Akcent 5 2 6 6" xfId="7347"/>
    <cellStyle name="Akcent 5 2 7" xfId="7348"/>
    <cellStyle name="Akcent 5 2 7 2" xfId="7349"/>
    <cellStyle name="Akcent 5 2 7 3" xfId="7350"/>
    <cellStyle name="Akcent 5 2 7 4" xfId="7351"/>
    <cellStyle name="Akcent 5 2 7 5" xfId="7352"/>
    <cellStyle name="Akcent 5 2 7 6" xfId="7353"/>
    <cellStyle name="Akcent 5 2 8" xfId="7354"/>
    <cellStyle name="Akcent 5 2 8 2" xfId="7355"/>
    <cellStyle name="Akcent 5 2 8 3" xfId="7356"/>
    <cellStyle name="Akcent 5 2 8 4" xfId="7357"/>
    <cellStyle name="Akcent 5 2 8 5" xfId="7358"/>
    <cellStyle name="Akcent 5 2 8 6" xfId="7359"/>
    <cellStyle name="Akcent 5 2 9" xfId="7360"/>
    <cellStyle name="Akcent 5 2 9 2" xfId="7361"/>
    <cellStyle name="Akcent 5 2 9 3" xfId="7362"/>
    <cellStyle name="Akcent 5 2 9 4" xfId="7363"/>
    <cellStyle name="Akcent 5 2 9 5" xfId="7364"/>
    <cellStyle name="Akcent 5 2 9 6" xfId="7365"/>
    <cellStyle name="Akcent 5 3" xfId="7366"/>
    <cellStyle name="Akcent 5 3 2" xfId="7367"/>
    <cellStyle name="Akcent 5 3 2 2" xfId="7368"/>
    <cellStyle name="Akcent 5 3 3" xfId="7369"/>
    <cellStyle name="Akcent 5 3 4" xfId="7370"/>
    <cellStyle name="Akcent 5 3 5" xfId="7371"/>
    <cellStyle name="Akcent 5 3 6" xfId="7372"/>
    <cellStyle name="Akcent 5 3 7" xfId="7373"/>
    <cellStyle name="Akcent 5 3 8" xfId="7374"/>
    <cellStyle name="Akcent 5 4" xfId="7375"/>
    <cellStyle name="Akcent 5 4 2" xfId="7376"/>
    <cellStyle name="Akcent 5 4 3" xfId="7377"/>
    <cellStyle name="Akcent 5 4 4" xfId="7378"/>
    <cellStyle name="Akcent 5 4 5" xfId="7379"/>
    <cellStyle name="Akcent 5 4 6" xfId="7380"/>
    <cellStyle name="Akcent 5 4 7" xfId="7381"/>
    <cellStyle name="Akcent 5 4 8" xfId="7382"/>
    <cellStyle name="Akcent 5 5" xfId="7383"/>
    <cellStyle name="Akcent 5 5 2" xfId="7384"/>
    <cellStyle name="Akcent 5 6" xfId="7385"/>
    <cellStyle name="Akcent 5 7" xfId="7386"/>
    <cellStyle name="Akcent 6 2" xfId="7387"/>
    <cellStyle name="Akcent 6 2 10" xfId="7388"/>
    <cellStyle name="Akcent 6 2 10 2" xfId="7389"/>
    <cellStyle name="Akcent 6 2 10 3" xfId="7390"/>
    <cellStyle name="Akcent 6 2 10 4" xfId="7391"/>
    <cellStyle name="Akcent 6 2 10 5" xfId="7392"/>
    <cellStyle name="Akcent 6 2 10 6" xfId="7393"/>
    <cellStyle name="Akcent 6 2 11" xfId="7394"/>
    <cellStyle name="Akcent 6 2 11 2" xfId="7395"/>
    <cellStyle name="Akcent 6 2 11 3" xfId="7396"/>
    <cellStyle name="Akcent 6 2 11 4" xfId="7397"/>
    <cellStyle name="Akcent 6 2 11 5" xfId="7398"/>
    <cellStyle name="Akcent 6 2 11 6" xfId="7399"/>
    <cellStyle name="Akcent 6 2 12" xfId="7400"/>
    <cellStyle name="Akcent 6 2 12 2" xfId="7401"/>
    <cellStyle name="Akcent 6 2 12 3" xfId="7402"/>
    <cellStyle name="Akcent 6 2 12 4" xfId="7403"/>
    <cellStyle name="Akcent 6 2 12 5" xfId="7404"/>
    <cellStyle name="Akcent 6 2 12 6" xfId="7405"/>
    <cellStyle name="Akcent 6 2 13" xfId="7406"/>
    <cellStyle name="Akcent 6 2 13 2" xfId="7407"/>
    <cellStyle name="Akcent 6 2 13 3" xfId="7408"/>
    <cellStyle name="Akcent 6 2 13 4" xfId="7409"/>
    <cellStyle name="Akcent 6 2 13 5" xfId="7410"/>
    <cellStyle name="Akcent 6 2 13 6" xfId="7411"/>
    <cellStyle name="Akcent 6 2 14" xfId="7412"/>
    <cellStyle name="Akcent 6 2 14 2" xfId="7413"/>
    <cellStyle name="Akcent 6 2 14 3" xfId="7414"/>
    <cellStyle name="Akcent 6 2 14 4" xfId="7415"/>
    <cellStyle name="Akcent 6 2 14 5" xfId="7416"/>
    <cellStyle name="Akcent 6 2 14 6" xfId="7417"/>
    <cellStyle name="Akcent 6 2 15" xfId="7418"/>
    <cellStyle name="Akcent 6 2 15 2" xfId="7419"/>
    <cellStyle name="Akcent 6 2 15 3" xfId="7420"/>
    <cellStyle name="Akcent 6 2 15 4" xfId="7421"/>
    <cellStyle name="Akcent 6 2 15 5" xfId="7422"/>
    <cellStyle name="Akcent 6 2 15 6" xfId="7423"/>
    <cellStyle name="Akcent 6 2 16" xfId="7424"/>
    <cellStyle name="Akcent 6 2 16 2" xfId="7425"/>
    <cellStyle name="Akcent 6 2 16 3" xfId="7426"/>
    <cellStyle name="Akcent 6 2 16 4" xfId="7427"/>
    <cellStyle name="Akcent 6 2 16 5" xfId="7428"/>
    <cellStyle name="Akcent 6 2 16 6" xfId="7429"/>
    <cellStyle name="Akcent 6 2 17" xfId="7430"/>
    <cellStyle name="Akcent 6 2 17 2" xfId="7431"/>
    <cellStyle name="Akcent 6 2 17 3" xfId="7432"/>
    <cellStyle name="Akcent 6 2 17 4" xfId="7433"/>
    <cellStyle name="Akcent 6 2 17 5" xfId="7434"/>
    <cellStyle name="Akcent 6 2 17 6" xfId="7435"/>
    <cellStyle name="Akcent 6 2 18" xfId="7436"/>
    <cellStyle name="Akcent 6 2 18 2" xfId="7437"/>
    <cellStyle name="Akcent 6 2 18 3" xfId="7438"/>
    <cellStyle name="Akcent 6 2 18 4" xfId="7439"/>
    <cellStyle name="Akcent 6 2 18 5" xfId="7440"/>
    <cellStyle name="Akcent 6 2 18 6" xfId="7441"/>
    <cellStyle name="Akcent 6 2 19" xfId="7442"/>
    <cellStyle name="Akcent 6 2 19 2" xfId="7443"/>
    <cellStyle name="Akcent 6 2 19 3" xfId="7444"/>
    <cellStyle name="Akcent 6 2 19 4" xfId="7445"/>
    <cellStyle name="Akcent 6 2 19 5" xfId="7446"/>
    <cellStyle name="Akcent 6 2 19 6" xfId="7447"/>
    <cellStyle name="Akcent 6 2 2" xfId="7448"/>
    <cellStyle name="Akcent 6 2 2 2" xfId="7449"/>
    <cellStyle name="Akcent 6 2 2 3" xfId="7450"/>
    <cellStyle name="Akcent 6 2 2 4" xfId="7451"/>
    <cellStyle name="Akcent 6 2 2 5" xfId="7452"/>
    <cellStyle name="Akcent 6 2 2 6" xfId="7453"/>
    <cellStyle name="Akcent 6 2 2 7" xfId="7454"/>
    <cellStyle name="Akcent 6 2 20" xfId="7455"/>
    <cellStyle name="Akcent 6 2 20 2" xfId="7456"/>
    <cellStyle name="Akcent 6 2 20 3" xfId="7457"/>
    <cellStyle name="Akcent 6 2 20 4" xfId="7458"/>
    <cellStyle name="Akcent 6 2 20 5" xfId="7459"/>
    <cellStyle name="Akcent 6 2 20 6" xfId="7460"/>
    <cellStyle name="Akcent 6 2 21" xfId="7461"/>
    <cellStyle name="Akcent 6 2 21 2" xfId="7462"/>
    <cellStyle name="Akcent 6 2 21 3" xfId="7463"/>
    <cellStyle name="Akcent 6 2 21 4" xfId="7464"/>
    <cellStyle name="Akcent 6 2 21 5" xfId="7465"/>
    <cellStyle name="Akcent 6 2 21 6" xfId="7466"/>
    <cellStyle name="Akcent 6 2 22" xfId="7467"/>
    <cellStyle name="Akcent 6 2 22 2" xfId="7468"/>
    <cellStyle name="Akcent 6 2 22 3" xfId="7469"/>
    <cellStyle name="Akcent 6 2 22 4" xfId="7470"/>
    <cellStyle name="Akcent 6 2 22 5" xfId="7471"/>
    <cellStyle name="Akcent 6 2 22 6" xfId="7472"/>
    <cellStyle name="Akcent 6 2 23" xfId="7473"/>
    <cellStyle name="Akcent 6 2 23 2" xfId="7474"/>
    <cellStyle name="Akcent 6 2 23 3" xfId="7475"/>
    <cellStyle name="Akcent 6 2 23 4" xfId="7476"/>
    <cellStyle name="Akcent 6 2 23 5" xfId="7477"/>
    <cellStyle name="Akcent 6 2 23 6" xfId="7478"/>
    <cellStyle name="Akcent 6 2 24" xfId="7479"/>
    <cellStyle name="Akcent 6 2 24 2" xfId="7480"/>
    <cellStyle name="Akcent 6 2 24 3" xfId="7481"/>
    <cellStyle name="Akcent 6 2 24 4" xfId="7482"/>
    <cellStyle name="Akcent 6 2 24 5" xfId="7483"/>
    <cellStyle name="Akcent 6 2 24 6" xfId="7484"/>
    <cellStyle name="Akcent 6 2 25" xfId="7485"/>
    <cellStyle name="Akcent 6 2 25 2" xfId="7486"/>
    <cellStyle name="Akcent 6 2 25 3" xfId="7487"/>
    <cellStyle name="Akcent 6 2 25 4" xfId="7488"/>
    <cellStyle name="Akcent 6 2 25 5" xfId="7489"/>
    <cellStyle name="Akcent 6 2 25 6" xfId="7490"/>
    <cellStyle name="Akcent 6 2 26" xfId="7491"/>
    <cellStyle name="Akcent 6 2 26 2" xfId="7492"/>
    <cellStyle name="Akcent 6 2 26 3" xfId="7493"/>
    <cellStyle name="Akcent 6 2 26 4" xfId="7494"/>
    <cellStyle name="Akcent 6 2 26 5" xfId="7495"/>
    <cellStyle name="Akcent 6 2 26 6" xfId="7496"/>
    <cellStyle name="Akcent 6 2 27" xfId="7497"/>
    <cellStyle name="Akcent 6 2 27 2" xfId="7498"/>
    <cellStyle name="Akcent 6 2 27 3" xfId="7499"/>
    <cellStyle name="Akcent 6 2 27 4" xfId="7500"/>
    <cellStyle name="Akcent 6 2 27 5" xfId="7501"/>
    <cellStyle name="Akcent 6 2 27 6" xfId="7502"/>
    <cellStyle name="Akcent 6 2 28" xfId="7503"/>
    <cellStyle name="Akcent 6 2 28 2" xfId="7504"/>
    <cellStyle name="Akcent 6 2 28 3" xfId="7505"/>
    <cellStyle name="Akcent 6 2 28 4" xfId="7506"/>
    <cellStyle name="Akcent 6 2 28 5" xfId="7507"/>
    <cellStyle name="Akcent 6 2 28 6" xfId="7508"/>
    <cellStyle name="Akcent 6 2 29" xfId="7509"/>
    <cellStyle name="Akcent 6 2 29 2" xfId="7510"/>
    <cellStyle name="Akcent 6 2 3" xfId="7511"/>
    <cellStyle name="Akcent 6 2 3 2" xfId="7512"/>
    <cellStyle name="Akcent 6 2 3 3" xfId="7513"/>
    <cellStyle name="Akcent 6 2 3 4" xfId="7514"/>
    <cellStyle name="Akcent 6 2 3 5" xfId="7515"/>
    <cellStyle name="Akcent 6 2 3 6" xfId="7516"/>
    <cellStyle name="Akcent 6 2 30" xfId="7517"/>
    <cellStyle name="Akcent 6 2 30 2" xfId="7518"/>
    <cellStyle name="Akcent 6 2 31" xfId="7519"/>
    <cellStyle name="Akcent 6 2 31 2" xfId="7520"/>
    <cellStyle name="Akcent 6 2 32" xfId="7521"/>
    <cellStyle name="Akcent 6 2 32 2" xfId="7522"/>
    <cellStyle name="Akcent 6 2 33" xfId="7523"/>
    <cellStyle name="Akcent 6 2 34" xfId="7524"/>
    <cellStyle name="Akcent 6 2 35" xfId="7525"/>
    <cellStyle name="Akcent 6 2 36" xfId="7526"/>
    <cellStyle name="Akcent 6 2 37" xfId="7527"/>
    <cellStyle name="Akcent 6 2 38" xfId="7528"/>
    <cellStyle name="Akcent 6 2 39" xfId="7529"/>
    <cellStyle name="Akcent 6 2 4" xfId="7530"/>
    <cellStyle name="Akcent 6 2 4 2" xfId="7531"/>
    <cellStyle name="Akcent 6 2 4 3" xfId="7532"/>
    <cellStyle name="Akcent 6 2 4 4" xfId="7533"/>
    <cellStyle name="Akcent 6 2 4 5" xfId="7534"/>
    <cellStyle name="Akcent 6 2 4 6" xfId="7535"/>
    <cellStyle name="Akcent 6 2 40" xfId="7536"/>
    <cellStyle name="Akcent 6 2 41" xfId="7537"/>
    <cellStyle name="Akcent 6 2 42" xfId="7538"/>
    <cellStyle name="Akcent 6 2 43" xfId="7539"/>
    <cellStyle name="Akcent 6 2 44" xfId="7540"/>
    <cellStyle name="Akcent 6 2 45" xfId="7541"/>
    <cellStyle name="Akcent 6 2 46" xfId="7542"/>
    <cellStyle name="Akcent 6 2 47" xfId="7543"/>
    <cellStyle name="Akcent 6 2 48" xfId="7544"/>
    <cellStyle name="Akcent 6 2 49" xfId="7545"/>
    <cellStyle name="Akcent 6 2 5" xfId="7546"/>
    <cellStyle name="Akcent 6 2 5 2" xfId="7547"/>
    <cellStyle name="Akcent 6 2 5 3" xfId="7548"/>
    <cellStyle name="Akcent 6 2 5 4" xfId="7549"/>
    <cellStyle name="Akcent 6 2 5 5" xfId="7550"/>
    <cellStyle name="Akcent 6 2 5 6" xfId="7551"/>
    <cellStyle name="Akcent 6 2 50" xfId="7552"/>
    <cellStyle name="Akcent 6 2 51" xfId="7553"/>
    <cellStyle name="Akcent 6 2 52" xfId="7554"/>
    <cellStyle name="Akcent 6 2 6" xfId="7555"/>
    <cellStyle name="Akcent 6 2 6 2" xfId="7556"/>
    <cellStyle name="Akcent 6 2 6 3" xfId="7557"/>
    <cellStyle name="Akcent 6 2 6 4" xfId="7558"/>
    <cellStyle name="Akcent 6 2 6 5" xfId="7559"/>
    <cellStyle name="Akcent 6 2 6 6" xfId="7560"/>
    <cellStyle name="Akcent 6 2 7" xfId="7561"/>
    <cellStyle name="Akcent 6 2 7 2" xfId="7562"/>
    <cellStyle name="Akcent 6 2 7 3" xfId="7563"/>
    <cellStyle name="Akcent 6 2 7 4" xfId="7564"/>
    <cellStyle name="Akcent 6 2 7 5" xfId="7565"/>
    <cellStyle name="Akcent 6 2 7 6" xfId="7566"/>
    <cellStyle name="Akcent 6 2 8" xfId="7567"/>
    <cellStyle name="Akcent 6 2 8 2" xfId="7568"/>
    <cellStyle name="Akcent 6 2 8 3" xfId="7569"/>
    <cellStyle name="Akcent 6 2 8 4" xfId="7570"/>
    <cellStyle name="Akcent 6 2 8 5" xfId="7571"/>
    <cellStyle name="Akcent 6 2 8 6" xfId="7572"/>
    <cellStyle name="Akcent 6 2 9" xfId="7573"/>
    <cellStyle name="Akcent 6 2 9 2" xfId="7574"/>
    <cellStyle name="Akcent 6 2 9 3" xfId="7575"/>
    <cellStyle name="Akcent 6 2 9 4" xfId="7576"/>
    <cellStyle name="Akcent 6 2 9 5" xfId="7577"/>
    <cellStyle name="Akcent 6 2 9 6" xfId="7578"/>
    <cellStyle name="Akcent 6 3" xfId="7579"/>
    <cellStyle name="Akcent 6 3 2" xfId="7580"/>
    <cellStyle name="Akcent 6 3 2 2" xfId="7581"/>
    <cellStyle name="Akcent 6 3 3" xfId="7582"/>
    <cellStyle name="Akcent 6 3 4" xfId="7583"/>
    <cellStyle name="Akcent 6 3 5" xfId="7584"/>
    <cellStyle name="Akcent 6 3 6" xfId="7585"/>
    <cellStyle name="Akcent 6 3 7" xfId="7586"/>
    <cellStyle name="Akcent 6 3 8" xfId="7587"/>
    <cellStyle name="Akcent 6 4" xfId="7588"/>
    <cellStyle name="Akcent 6 4 2" xfId="7589"/>
    <cellStyle name="Akcent 6 4 3" xfId="7590"/>
    <cellStyle name="Akcent 6 4 4" xfId="7591"/>
    <cellStyle name="Akcent 6 4 5" xfId="7592"/>
    <cellStyle name="Akcent 6 4 6" xfId="7593"/>
    <cellStyle name="Akcent 6 4 7" xfId="7594"/>
    <cellStyle name="Akcent 6 4 8" xfId="7595"/>
    <cellStyle name="Akcent 6 5" xfId="7596"/>
    <cellStyle name="Akcent 6 5 2" xfId="7597"/>
    <cellStyle name="Akcent 6 6" xfId="7598"/>
    <cellStyle name="Akcent 6 7" xfId="7599"/>
    <cellStyle name="Calc Currency (0)" xfId="7600"/>
    <cellStyle name="Comma 2" xfId="7601"/>
    <cellStyle name="Dane wejściowe 2" xfId="7602"/>
    <cellStyle name="Dane wejściowe 2 10" xfId="7603"/>
    <cellStyle name="Dane wejściowe 2 10 10" xfId="7604"/>
    <cellStyle name="Dane wejściowe 2 10 10 2" xfId="7605"/>
    <cellStyle name="Dane wejściowe 2 10 10 3" xfId="7606"/>
    <cellStyle name="Dane wejściowe 2 10 11" xfId="7607"/>
    <cellStyle name="Dane wejściowe 2 10 11 2" xfId="7608"/>
    <cellStyle name="Dane wejściowe 2 10 11 3" xfId="7609"/>
    <cellStyle name="Dane wejściowe 2 10 12" xfId="7610"/>
    <cellStyle name="Dane wejściowe 2 10 12 2" xfId="7611"/>
    <cellStyle name="Dane wejściowe 2 10 12 3" xfId="7612"/>
    <cellStyle name="Dane wejściowe 2 10 13" xfId="7613"/>
    <cellStyle name="Dane wejściowe 2 10 13 2" xfId="7614"/>
    <cellStyle name="Dane wejściowe 2 10 13 3" xfId="7615"/>
    <cellStyle name="Dane wejściowe 2 10 14" xfId="7616"/>
    <cellStyle name="Dane wejściowe 2 10 14 2" xfId="7617"/>
    <cellStyle name="Dane wejściowe 2 10 14 3" xfId="7618"/>
    <cellStyle name="Dane wejściowe 2 10 15" xfId="7619"/>
    <cellStyle name="Dane wejściowe 2 10 15 2" xfId="7620"/>
    <cellStyle name="Dane wejściowe 2 10 15 3" xfId="7621"/>
    <cellStyle name="Dane wejściowe 2 10 16" xfId="7622"/>
    <cellStyle name="Dane wejściowe 2 10 16 2" xfId="7623"/>
    <cellStyle name="Dane wejściowe 2 10 16 3" xfId="7624"/>
    <cellStyle name="Dane wejściowe 2 10 17" xfId="7625"/>
    <cellStyle name="Dane wejściowe 2 10 17 2" xfId="7626"/>
    <cellStyle name="Dane wejściowe 2 10 17 3" xfId="7627"/>
    <cellStyle name="Dane wejściowe 2 10 18" xfId="7628"/>
    <cellStyle name="Dane wejściowe 2 10 18 2" xfId="7629"/>
    <cellStyle name="Dane wejściowe 2 10 18 3" xfId="7630"/>
    <cellStyle name="Dane wejściowe 2 10 19" xfId="7631"/>
    <cellStyle name="Dane wejściowe 2 10 19 2" xfId="7632"/>
    <cellStyle name="Dane wejściowe 2 10 19 3" xfId="7633"/>
    <cellStyle name="Dane wejściowe 2 10 2" xfId="7634"/>
    <cellStyle name="Dane wejściowe 2 10 2 2" xfId="7635"/>
    <cellStyle name="Dane wejściowe 2 10 2 3" xfId="7636"/>
    <cellStyle name="Dane wejściowe 2 10 20" xfId="7637"/>
    <cellStyle name="Dane wejściowe 2 10 20 2" xfId="7638"/>
    <cellStyle name="Dane wejściowe 2 10 20 3" xfId="7639"/>
    <cellStyle name="Dane wejściowe 2 10 21" xfId="7640"/>
    <cellStyle name="Dane wejściowe 2 10 21 2" xfId="7641"/>
    <cellStyle name="Dane wejściowe 2 10 21 3" xfId="7642"/>
    <cellStyle name="Dane wejściowe 2 10 22" xfId="7643"/>
    <cellStyle name="Dane wejściowe 2 10 22 2" xfId="7644"/>
    <cellStyle name="Dane wejściowe 2 10 22 3" xfId="7645"/>
    <cellStyle name="Dane wejściowe 2 10 23" xfId="7646"/>
    <cellStyle name="Dane wejściowe 2 10 23 2" xfId="7647"/>
    <cellStyle name="Dane wejściowe 2 10 23 3" xfId="7648"/>
    <cellStyle name="Dane wejściowe 2 10 24" xfId="7649"/>
    <cellStyle name="Dane wejściowe 2 10 24 2" xfId="7650"/>
    <cellStyle name="Dane wejściowe 2 10 24 3" xfId="7651"/>
    <cellStyle name="Dane wejściowe 2 10 25" xfId="7652"/>
    <cellStyle name="Dane wejściowe 2 10 25 2" xfId="7653"/>
    <cellStyle name="Dane wejściowe 2 10 25 3" xfId="7654"/>
    <cellStyle name="Dane wejściowe 2 10 26" xfId="7655"/>
    <cellStyle name="Dane wejściowe 2 10 26 2" xfId="7656"/>
    <cellStyle name="Dane wejściowe 2 10 26 3" xfId="7657"/>
    <cellStyle name="Dane wejściowe 2 10 27" xfId="7658"/>
    <cellStyle name="Dane wejściowe 2 10 27 2" xfId="7659"/>
    <cellStyle name="Dane wejściowe 2 10 27 3" xfId="7660"/>
    <cellStyle name="Dane wejściowe 2 10 28" xfId="7661"/>
    <cellStyle name="Dane wejściowe 2 10 28 2" xfId="7662"/>
    <cellStyle name="Dane wejściowe 2 10 28 3" xfId="7663"/>
    <cellStyle name="Dane wejściowe 2 10 29" xfId="7664"/>
    <cellStyle name="Dane wejściowe 2 10 29 2" xfId="7665"/>
    <cellStyle name="Dane wejściowe 2 10 29 3" xfId="7666"/>
    <cellStyle name="Dane wejściowe 2 10 3" xfId="7667"/>
    <cellStyle name="Dane wejściowe 2 10 3 2" xfId="7668"/>
    <cellStyle name="Dane wejściowe 2 10 3 3" xfId="7669"/>
    <cellStyle name="Dane wejściowe 2 10 30" xfId="7670"/>
    <cellStyle name="Dane wejściowe 2 10 30 2" xfId="7671"/>
    <cellStyle name="Dane wejściowe 2 10 30 3" xfId="7672"/>
    <cellStyle name="Dane wejściowe 2 10 31" xfId="7673"/>
    <cellStyle name="Dane wejściowe 2 10 31 2" xfId="7674"/>
    <cellStyle name="Dane wejściowe 2 10 31 3" xfId="7675"/>
    <cellStyle name="Dane wejściowe 2 10 32" xfId="7676"/>
    <cellStyle name="Dane wejściowe 2 10 32 2" xfId="7677"/>
    <cellStyle name="Dane wejściowe 2 10 32 3" xfId="7678"/>
    <cellStyle name="Dane wejściowe 2 10 33" xfId="7679"/>
    <cellStyle name="Dane wejściowe 2 10 33 2" xfId="7680"/>
    <cellStyle name="Dane wejściowe 2 10 33 3" xfId="7681"/>
    <cellStyle name="Dane wejściowe 2 10 34" xfId="7682"/>
    <cellStyle name="Dane wejściowe 2 10 34 2" xfId="7683"/>
    <cellStyle name="Dane wejściowe 2 10 34 3" xfId="7684"/>
    <cellStyle name="Dane wejściowe 2 10 35" xfId="7685"/>
    <cellStyle name="Dane wejściowe 2 10 35 2" xfId="7686"/>
    <cellStyle name="Dane wejściowe 2 10 35 3" xfId="7687"/>
    <cellStyle name="Dane wejściowe 2 10 36" xfId="7688"/>
    <cellStyle name="Dane wejściowe 2 10 36 2" xfId="7689"/>
    <cellStyle name="Dane wejściowe 2 10 36 3" xfId="7690"/>
    <cellStyle name="Dane wejściowe 2 10 37" xfId="7691"/>
    <cellStyle name="Dane wejściowe 2 10 37 2" xfId="7692"/>
    <cellStyle name="Dane wejściowe 2 10 37 3" xfId="7693"/>
    <cellStyle name="Dane wejściowe 2 10 38" xfId="7694"/>
    <cellStyle name="Dane wejściowe 2 10 38 2" xfId="7695"/>
    <cellStyle name="Dane wejściowe 2 10 38 3" xfId="7696"/>
    <cellStyle name="Dane wejściowe 2 10 39" xfId="7697"/>
    <cellStyle name="Dane wejściowe 2 10 39 2" xfId="7698"/>
    <cellStyle name="Dane wejściowe 2 10 39 3" xfId="7699"/>
    <cellStyle name="Dane wejściowe 2 10 4" xfId="7700"/>
    <cellStyle name="Dane wejściowe 2 10 4 2" xfId="7701"/>
    <cellStyle name="Dane wejściowe 2 10 4 3" xfId="7702"/>
    <cellStyle name="Dane wejściowe 2 10 40" xfId="7703"/>
    <cellStyle name="Dane wejściowe 2 10 40 2" xfId="7704"/>
    <cellStyle name="Dane wejściowe 2 10 40 3" xfId="7705"/>
    <cellStyle name="Dane wejściowe 2 10 41" xfId="7706"/>
    <cellStyle name="Dane wejściowe 2 10 41 2" xfId="7707"/>
    <cellStyle name="Dane wejściowe 2 10 41 3" xfId="7708"/>
    <cellStyle name="Dane wejściowe 2 10 42" xfId="7709"/>
    <cellStyle name="Dane wejściowe 2 10 42 2" xfId="7710"/>
    <cellStyle name="Dane wejściowe 2 10 42 3" xfId="7711"/>
    <cellStyle name="Dane wejściowe 2 10 43" xfId="7712"/>
    <cellStyle name="Dane wejściowe 2 10 43 2" xfId="7713"/>
    <cellStyle name="Dane wejściowe 2 10 43 3" xfId="7714"/>
    <cellStyle name="Dane wejściowe 2 10 44" xfId="7715"/>
    <cellStyle name="Dane wejściowe 2 10 44 2" xfId="7716"/>
    <cellStyle name="Dane wejściowe 2 10 44 3" xfId="7717"/>
    <cellStyle name="Dane wejściowe 2 10 45" xfId="7718"/>
    <cellStyle name="Dane wejściowe 2 10 45 2" xfId="7719"/>
    <cellStyle name="Dane wejściowe 2 10 45 3" xfId="7720"/>
    <cellStyle name="Dane wejściowe 2 10 46" xfId="7721"/>
    <cellStyle name="Dane wejściowe 2 10 46 2" xfId="7722"/>
    <cellStyle name="Dane wejściowe 2 10 46 3" xfId="7723"/>
    <cellStyle name="Dane wejściowe 2 10 47" xfId="7724"/>
    <cellStyle name="Dane wejściowe 2 10 47 2" xfId="7725"/>
    <cellStyle name="Dane wejściowe 2 10 47 3" xfId="7726"/>
    <cellStyle name="Dane wejściowe 2 10 48" xfId="7727"/>
    <cellStyle name="Dane wejściowe 2 10 48 2" xfId="7728"/>
    <cellStyle name="Dane wejściowe 2 10 48 3" xfId="7729"/>
    <cellStyle name="Dane wejściowe 2 10 49" xfId="7730"/>
    <cellStyle name="Dane wejściowe 2 10 49 2" xfId="7731"/>
    <cellStyle name="Dane wejściowe 2 10 49 3" xfId="7732"/>
    <cellStyle name="Dane wejściowe 2 10 5" xfId="7733"/>
    <cellStyle name="Dane wejściowe 2 10 5 2" xfId="7734"/>
    <cellStyle name="Dane wejściowe 2 10 5 3" xfId="7735"/>
    <cellStyle name="Dane wejściowe 2 10 50" xfId="7736"/>
    <cellStyle name="Dane wejściowe 2 10 50 2" xfId="7737"/>
    <cellStyle name="Dane wejściowe 2 10 50 3" xfId="7738"/>
    <cellStyle name="Dane wejściowe 2 10 51" xfId="7739"/>
    <cellStyle name="Dane wejściowe 2 10 51 2" xfId="7740"/>
    <cellStyle name="Dane wejściowe 2 10 51 3" xfId="7741"/>
    <cellStyle name="Dane wejściowe 2 10 52" xfId="7742"/>
    <cellStyle name="Dane wejściowe 2 10 52 2" xfId="7743"/>
    <cellStyle name="Dane wejściowe 2 10 52 3" xfId="7744"/>
    <cellStyle name="Dane wejściowe 2 10 53" xfId="7745"/>
    <cellStyle name="Dane wejściowe 2 10 53 2" xfId="7746"/>
    <cellStyle name="Dane wejściowe 2 10 53 3" xfId="7747"/>
    <cellStyle name="Dane wejściowe 2 10 54" xfId="7748"/>
    <cellStyle name="Dane wejściowe 2 10 54 2" xfId="7749"/>
    <cellStyle name="Dane wejściowe 2 10 54 3" xfId="7750"/>
    <cellStyle name="Dane wejściowe 2 10 55" xfId="7751"/>
    <cellStyle name="Dane wejściowe 2 10 55 2" xfId="7752"/>
    <cellStyle name="Dane wejściowe 2 10 55 3" xfId="7753"/>
    <cellStyle name="Dane wejściowe 2 10 56" xfId="7754"/>
    <cellStyle name="Dane wejściowe 2 10 56 2" xfId="7755"/>
    <cellStyle name="Dane wejściowe 2 10 56 3" xfId="7756"/>
    <cellStyle name="Dane wejściowe 2 10 57" xfId="7757"/>
    <cellStyle name="Dane wejściowe 2 10 58" xfId="7758"/>
    <cellStyle name="Dane wejściowe 2 10 6" xfId="7759"/>
    <cellStyle name="Dane wejściowe 2 10 6 2" xfId="7760"/>
    <cellStyle name="Dane wejściowe 2 10 6 3" xfId="7761"/>
    <cellStyle name="Dane wejściowe 2 10 7" xfId="7762"/>
    <cellStyle name="Dane wejściowe 2 10 7 2" xfId="7763"/>
    <cellStyle name="Dane wejściowe 2 10 7 3" xfId="7764"/>
    <cellStyle name="Dane wejściowe 2 10 8" xfId="7765"/>
    <cellStyle name="Dane wejściowe 2 10 8 2" xfId="7766"/>
    <cellStyle name="Dane wejściowe 2 10 8 3" xfId="7767"/>
    <cellStyle name="Dane wejściowe 2 10 9" xfId="7768"/>
    <cellStyle name="Dane wejściowe 2 10 9 2" xfId="7769"/>
    <cellStyle name="Dane wejściowe 2 10 9 3" xfId="7770"/>
    <cellStyle name="Dane wejściowe 2 11" xfId="7771"/>
    <cellStyle name="Dane wejściowe 2 11 10" xfId="7772"/>
    <cellStyle name="Dane wejściowe 2 11 10 2" xfId="7773"/>
    <cellStyle name="Dane wejściowe 2 11 10 3" xfId="7774"/>
    <cellStyle name="Dane wejściowe 2 11 11" xfId="7775"/>
    <cellStyle name="Dane wejściowe 2 11 11 2" xfId="7776"/>
    <cellStyle name="Dane wejściowe 2 11 11 3" xfId="7777"/>
    <cellStyle name="Dane wejściowe 2 11 12" xfId="7778"/>
    <cellStyle name="Dane wejściowe 2 11 12 2" xfId="7779"/>
    <cellStyle name="Dane wejściowe 2 11 12 3" xfId="7780"/>
    <cellStyle name="Dane wejściowe 2 11 13" xfId="7781"/>
    <cellStyle name="Dane wejściowe 2 11 13 2" xfId="7782"/>
    <cellStyle name="Dane wejściowe 2 11 13 3" xfId="7783"/>
    <cellStyle name="Dane wejściowe 2 11 14" xfId="7784"/>
    <cellStyle name="Dane wejściowe 2 11 14 2" xfId="7785"/>
    <cellStyle name="Dane wejściowe 2 11 14 3" xfId="7786"/>
    <cellStyle name="Dane wejściowe 2 11 15" xfId="7787"/>
    <cellStyle name="Dane wejściowe 2 11 15 2" xfId="7788"/>
    <cellStyle name="Dane wejściowe 2 11 15 3" xfId="7789"/>
    <cellStyle name="Dane wejściowe 2 11 16" xfId="7790"/>
    <cellStyle name="Dane wejściowe 2 11 16 2" xfId="7791"/>
    <cellStyle name="Dane wejściowe 2 11 16 3" xfId="7792"/>
    <cellStyle name="Dane wejściowe 2 11 17" xfId="7793"/>
    <cellStyle name="Dane wejściowe 2 11 17 2" xfId="7794"/>
    <cellStyle name="Dane wejściowe 2 11 17 3" xfId="7795"/>
    <cellStyle name="Dane wejściowe 2 11 18" xfId="7796"/>
    <cellStyle name="Dane wejściowe 2 11 18 2" xfId="7797"/>
    <cellStyle name="Dane wejściowe 2 11 18 3" xfId="7798"/>
    <cellStyle name="Dane wejściowe 2 11 19" xfId="7799"/>
    <cellStyle name="Dane wejściowe 2 11 19 2" xfId="7800"/>
    <cellStyle name="Dane wejściowe 2 11 19 3" xfId="7801"/>
    <cellStyle name="Dane wejściowe 2 11 2" xfId="7802"/>
    <cellStyle name="Dane wejściowe 2 11 2 2" xfId="7803"/>
    <cellStyle name="Dane wejściowe 2 11 2 3" xfId="7804"/>
    <cellStyle name="Dane wejściowe 2 11 20" xfId="7805"/>
    <cellStyle name="Dane wejściowe 2 11 20 2" xfId="7806"/>
    <cellStyle name="Dane wejściowe 2 11 20 3" xfId="7807"/>
    <cellStyle name="Dane wejściowe 2 11 21" xfId="7808"/>
    <cellStyle name="Dane wejściowe 2 11 21 2" xfId="7809"/>
    <cellStyle name="Dane wejściowe 2 11 21 3" xfId="7810"/>
    <cellStyle name="Dane wejściowe 2 11 22" xfId="7811"/>
    <cellStyle name="Dane wejściowe 2 11 22 2" xfId="7812"/>
    <cellStyle name="Dane wejściowe 2 11 22 3" xfId="7813"/>
    <cellStyle name="Dane wejściowe 2 11 23" xfId="7814"/>
    <cellStyle name="Dane wejściowe 2 11 23 2" xfId="7815"/>
    <cellStyle name="Dane wejściowe 2 11 23 3" xfId="7816"/>
    <cellStyle name="Dane wejściowe 2 11 24" xfId="7817"/>
    <cellStyle name="Dane wejściowe 2 11 24 2" xfId="7818"/>
    <cellStyle name="Dane wejściowe 2 11 24 3" xfId="7819"/>
    <cellStyle name="Dane wejściowe 2 11 25" xfId="7820"/>
    <cellStyle name="Dane wejściowe 2 11 25 2" xfId="7821"/>
    <cellStyle name="Dane wejściowe 2 11 25 3" xfId="7822"/>
    <cellStyle name="Dane wejściowe 2 11 26" xfId="7823"/>
    <cellStyle name="Dane wejściowe 2 11 26 2" xfId="7824"/>
    <cellStyle name="Dane wejściowe 2 11 26 3" xfId="7825"/>
    <cellStyle name="Dane wejściowe 2 11 27" xfId="7826"/>
    <cellStyle name="Dane wejściowe 2 11 27 2" xfId="7827"/>
    <cellStyle name="Dane wejściowe 2 11 27 3" xfId="7828"/>
    <cellStyle name="Dane wejściowe 2 11 28" xfId="7829"/>
    <cellStyle name="Dane wejściowe 2 11 28 2" xfId="7830"/>
    <cellStyle name="Dane wejściowe 2 11 28 3" xfId="7831"/>
    <cellStyle name="Dane wejściowe 2 11 29" xfId="7832"/>
    <cellStyle name="Dane wejściowe 2 11 29 2" xfId="7833"/>
    <cellStyle name="Dane wejściowe 2 11 29 3" xfId="7834"/>
    <cellStyle name="Dane wejściowe 2 11 3" xfId="7835"/>
    <cellStyle name="Dane wejściowe 2 11 3 2" xfId="7836"/>
    <cellStyle name="Dane wejściowe 2 11 3 3" xfId="7837"/>
    <cellStyle name="Dane wejściowe 2 11 30" xfId="7838"/>
    <cellStyle name="Dane wejściowe 2 11 30 2" xfId="7839"/>
    <cellStyle name="Dane wejściowe 2 11 30 3" xfId="7840"/>
    <cellStyle name="Dane wejściowe 2 11 31" xfId="7841"/>
    <cellStyle name="Dane wejściowe 2 11 31 2" xfId="7842"/>
    <cellStyle name="Dane wejściowe 2 11 31 3" xfId="7843"/>
    <cellStyle name="Dane wejściowe 2 11 32" xfId="7844"/>
    <cellStyle name="Dane wejściowe 2 11 32 2" xfId="7845"/>
    <cellStyle name="Dane wejściowe 2 11 32 3" xfId="7846"/>
    <cellStyle name="Dane wejściowe 2 11 33" xfId="7847"/>
    <cellStyle name="Dane wejściowe 2 11 33 2" xfId="7848"/>
    <cellStyle name="Dane wejściowe 2 11 33 3" xfId="7849"/>
    <cellStyle name="Dane wejściowe 2 11 34" xfId="7850"/>
    <cellStyle name="Dane wejściowe 2 11 34 2" xfId="7851"/>
    <cellStyle name="Dane wejściowe 2 11 34 3" xfId="7852"/>
    <cellStyle name="Dane wejściowe 2 11 35" xfId="7853"/>
    <cellStyle name="Dane wejściowe 2 11 35 2" xfId="7854"/>
    <cellStyle name="Dane wejściowe 2 11 35 3" xfId="7855"/>
    <cellStyle name="Dane wejściowe 2 11 36" xfId="7856"/>
    <cellStyle name="Dane wejściowe 2 11 36 2" xfId="7857"/>
    <cellStyle name="Dane wejściowe 2 11 36 3" xfId="7858"/>
    <cellStyle name="Dane wejściowe 2 11 37" xfId="7859"/>
    <cellStyle name="Dane wejściowe 2 11 37 2" xfId="7860"/>
    <cellStyle name="Dane wejściowe 2 11 37 3" xfId="7861"/>
    <cellStyle name="Dane wejściowe 2 11 38" xfId="7862"/>
    <cellStyle name="Dane wejściowe 2 11 38 2" xfId="7863"/>
    <cellStyle name="Dane wejściowe 2 11 38 3" xfId="7864"/>
    <cellStyle name="Dane wejściowe 2 11 39" xfId="7865"/>
    <cellStyle name="Dane wejściowe 2 11 39 2" xfId="7866"/>
    <cellStyle name="Dane wejściowe 2 11 39 3" xfId="7867"/>
    <cellStyle name="Dane wejściowe 2 11 4" xfId="7868"/>
    <cellStyle name="Dane wejściowe 2 11 4 2" xfId="7869"/>
    <cellStyle name="Dane wejściowe 2 11 4 3" xfId="7870"/>
    <cellStyle name="Dane wejściowe 2 11 40" xfId="7871"/>
    <cellStyle name="Dane wejściowe 2 11 40 2" xfId="7872"/>
    <cellStyle name="Dane wejściowe 2 11 40 3" xfId="7873"/>
    <cellStyle name="Dane wejściowe 2 11 41" xfId="7874"/>
    <cellStyle name="Dane wejściowe 2 11 41 2" xfId="7875"/>
    <cellStyle name="Dane wejściowe 2 11 41 3" xfId="7876"/>
    <cellStyle name="Dane wejściowe 2 11 42" xfId="7877"/>
    <cellStyle name="Dane wejściowe 2 11 42 2" xfId="7878"/>
    <cellStyle name="Dane wejściowe 2 11 42 3" xfId="7879"/>
    <cellStyle name="Dane wejściowe 2 11 43" xfId="7880"/>
    <cellStyle name="Dane wejściowe 2 11 43 2" xfId="7881"/>
    <cellStyle name="Dane wejściowe 2 11 43 3" xfId="7882"/>
    <cellStyle name="Dane wejściowe 2 11 44" xfId="7883"/>
    <cellStyle name="Dane wejściowe 2 11 44 2" xfId="7884"/>
    <cellStyle name="Dane wejściowe 2 11 44 3" xfId="7885"/>
    <cellStyle name="Dane wejściowe 2 11 45" xfId="7886"/>
    <cellStyle name="Dane wejściowe 2 11 45 2" xfId="7887"/>
    <cellStyle name="Dane wejściowe 2 11 45 3" xfId="7888"/>
    <cellStyle name="Dane wejściowe 2 11 46" xfId="7889"/>
    <cellStyle name="Dane wejściowe 2 11 46 2" xfId="7890"/>
    <cellStyle name="Dane wejściowe 2 11 46 3" xfId="7891"/>
    <cellStyle name="Dane wejściowe 2 11 47" xfId="7892"/>
    <cellStyle name="Dane wejściowe 2 11 47 2" xfId="7893"/>
    <cellStyle name="Dane wejściowe 2 11 47 3" xfId="7894"/>
    <cellStyle name="Dane wejściowe 2 11 48" xfId="7895"/>
    <cellStyle name="Dane wejściowe 2 11 48 2" xfId="7896"/>
    <cellStyle name="Dane wejściowe 2 11 48 3" xfId="7897"/>
    <cellStyle name="Dane wejściowe 2 11 49" xfId="7898"/>
    <cellStyle name="Dane wejściowe 2 11 49 2" xfId="7899"/>
    <cellStyle name="Dane wejściowe 2 11 49 3" xfId="7900"/>
    <cellStyle name="Dane wejściowe 2 11 5" xfId="7901"/>
    <cellStyle name="Dane wejściowe 2 11 5 2" xfId="7902"/>
    <cellStyle name="Dane wejściowe 2 11 5 3" xfId="7903"/>
    <cellStyle name="Dane wejściowe 2 11 50" xfId="7904"/>
    <cellStyle name="Dane wejściowe 2 11 50 2" xfId="7905"/>
    <cellStyle name="Dane wejściowe 2 11 50 3" xfId="7906"/>
    <cellStyle name="Dane wejściowe 2 11 51" xfId="7907"/>
    <cellStyle name="Dane wejściowe 2 11 51 2" xfId="7908"/>
    <cellStyle name="Dane wejściowe 2 11 51 3" xfId="7909"/>
    <cellStyle name="Dane wejściowe 2 11 52" xfId="7910"/>
    <cellStyle name="Dane wejściowe 2 11 52 2" xfId="7911"/>
    <cellStyle name="Dane wejściowe 2 11 52 3" xfId="7912"/>
    <cellStyle name="Dane wejściowe 2 11 53" xfId="7913"/>
    <cellStyle name="Dane wejściowe 2 11 53 2" xfId="7914"/>
    <cellStyle name="Dane wejściowe 2 11 53 3" xfId="7915"/>
    <cellStyle name="Dane wejściowe 2 11 54" xfId="7916"/>
    <cellStyle name="Dane wejściowe 2 11 54 2" xfId="7917"/>
    <cellStyle name="Dane wejściowe 2 11 54 3" xfId="7918"/>
    <cellStyle name="Dane wejściowe 2 11 55" xfId="7919"/>
    <cellStyle name="Dane wejściowe 2 11 55 2" xfId="7920"/>
    <cellStyle name="Dane wejściowe 2 11 55 3" xfId="7921"/>
    <cellStyle name="Dane wejściowe 2 11 56" xfId="7922"/>
    <cellStyle name="Dane wejściowe 2 11 56 2" xfId="7923"/>
    <cellStyle name="Dane wejściowe 2 11 56 3" xfId="7924"/>
    <cellStyle name="Dane wejściowe 2 11 57" xfId="7925"/>
    <cellStyle name="Dane wejściowe 2 11 58" xfId="7926"/>
    <cellStyle name="Dane wejściowe 2 11 6" xfId="7927"/>
    <cellStyle name="Dane wejściowe 2 11 6 2" xfId="7928"/>
    <cellStyle name="Dane wejściowe 2 11 6 3" xfId="7929"/>
    <cellStyle name="Dane wejściowe 2 11 7" xfId="7930"/>
    <cellStyle name="Dane wejściowe 2 11 7 2" xfId="7931"/>
    <cellStyle name="Dane wejściowe 2 11 7 3" xfId="7932"/>
    <cellStyle name="Dane wejściowe 2 11 8" xfId="7933"/>
    <cellStyle name="Dane wejściowe 2 11 8 2" xfId="7934"/>
    <cellStyle name="Dane wejściowe 2 11 8 3" xfId="7935"/>
    <cellStyle name="Dane wejściowe 2 11 9" xfId="7936"/>
    <cellStyle name="Dane wejściowe 2 11 9 2" xfId="7937"/>
    <cellStyle name="Dane wejściowe 2 11 9 3" xfId="7938"/>
    <cellStyle name="Dane wejściowe 2 12" xfId="7939"/>
    <cellStyle name="Dane wejściowe 2 12 10" xfId="7940"/>
    <cellStyle name="Dane wejściowe 2 12 10 2" xfId="7941"/>
    <cellStyle name="Dane wejściowe 2 12 10 3" xfId="7942"/>
    <cellStyle name="Dane wejściowe 2 12 11" xfId="7943"/>
    <cellStyle name="Dane wejściowe 2 12 11 2" xfId="7944"/>
    <cellStyle name="Dane wejściowe 2 12 11 3" xfId="7945"/>
    <cellStyle name="Dane wejściowe 2 12 12" xfId="7946"/>
    <cellStyle name="Dane wejściowe 2 12 12 2" xfId="7947"/>
    <cellStyle name="Dane wejściowe 2 12 12 3" xfId="7948"/>
    <cellStyle name="Dane wejściowe 2 12 13" xfId="7949"/>
    <cellStyle name="Dane wejściowe 2 12 13 2" xfId="7950"/>
    <cellStyle name="Dane wejściowe 2 12 13 3" xfId="7951"/>
    <cellStyle name="Dane wejściowe 2 12 14" xfId="7952"/>
    <cellStyle name="Dane wejściowe 2 12 14 2" xfId="7953"/>
    <cellStyle name="Dane wejściowe 2 12 14 3" xfId="7954"/>
    <cellStyle name="Dane wejściowe 2 12 15" xfId="7955"/>
    <cellStyle name="Dane wejściowe 2 12 15 2" xfId="7956"/>
    <cellStyle name="Dane wejściowe 2 12 15 3" xfId="7957"/>
    <cellStyle name="Dane wejściowe 2 12 16" xfId="7958"/>
    <cellStyle name="Dane wejściowe 2 12 16 2" xfId="7959"/>
    <cellStyle name="Dane wejściowe 2 12 16 3" xfId="7960"/>
    <cellStyle name="Dane wejściowe 2 12 17" xfId="7961"/>
    <cellStyle name="Dane wejściowe 2 12 17 2" xfId="7962"/>
    <cellStyle name="Dane wejściowe 2 12 17 3" xfId="7963"/>
    <cellStyle name="Dane wejściowe 2 12 18" xfId="7964"/>
    <cellStyle name="Dane wejściowe 2 12 18 2" xfId="7965"/>
    <cellStyle name="Dane wejściowe 2 12 18 3" xfId="7966"/>
    <cellStyle name="Dane wejściowe 2 12 19" xfId="7967"/>
    <cellStyle name="Dane wejściowe 2 12 19 2" xfId="7968"/>
    <cellStyle name="Dane wejściowe 2 12 19 3" xfId="7969"/>
    <cellStyle name="Dane wejściowe 2 12 2" xfId="7970"/>
    <cellStyle name="Dane wejściowe 2 12 2 2" xfId="7971"/>
    <cellStyle name="Dane wejściowe 2 12 2 3" xfId="7972"/>
    <cellStyle name="Dane wejściowe 2 12 20" xfId="7973"/>
    <cellStyle name="Dane wejściowe 2 12 20 2" xfId="7974"/>
    <cellStyle name="Dane wejściowe 2 12 20 3" xfId="7975"/>
    <cellStyle name="Dane wejściowe 2 12 21" xfId="7976"/>
    <cellStyle name="Dane wejściowe 2 12 21 2" xfId="7977"/>
    <cellStyle name="Dane wejściowe 2 12 21 3" xfId="7978"/>
    <cellStyle name="Dane wejściowe 2 12 22" xfId="7979"/>
    <cellStyle name="Dane wejściowe 2 12 22 2" xfId="7980"/>
    <cellStyle name="Dane wejściowe 2 12 22 3" xfId="7981"/>
    <cellStyle name="Dane wejściowe 2 12 23" xfId="7982"/>
    <cellStyle name="Dane wejściowe 2 12 23 2" xfId="7983"/>
    <cellStyle name="Dane wejściowe 2 12 23 3" xfId="7984"/>
    <cellStyle name="Dane wejściowe 2 12 24" xfId="7985"/>
    <cellStyle name="Dane wejściowe 2 12 24 2" xfId="7986"/>
    <cellStyle name="Dane wejściowe 2 12 24 3" xfId="7987"/>
    <cellStyle name="Dane wejściowe 2 12 25" xfId="7988"/>
    <cellStyle name="Dane wejściowe 2 12 25 2" xfId="7989"/>
    <cellStyle name="Dane wejściowe 2 12 25 3" xfId="7990"/>
    <cellStyle name="Dane wejściowe 2 12 26" xfId="7991"/>
    <cellStyle name="Dane wejściowe 2 12 26 2" xfId="7992"/>
    <cellStyle name="Dane wejściowe 2 12 26 3" xfId="7993"/>
    <cellStyle name="Dane wejściowe 2 12 27" xfId="7994"/>
    <cellStyle name="Dane wejściowe 2 12 27 2" xfId="7995"/>
    <cellStyle name="Dane wejściowe 2 12 27 3" xfId="7996"/>
    <cellStyle name="Dane wejściowe 2 12 28" xfId="7997"/>
    <cellStyle name="Dane wejściowe 2 12 28 2" xfId="7998"/>
    <cellStyle name="Dane wejściowe 2 12 28 3" xfId="7999"/>
    <cellStyle name="Dane wejściowe 2 12 29" xfId="8000"/>
    <cellStyle name="Dane wejściowe 2 12 29 2" xfId="8001"/>
    <cellStyle name="Dane wejściowe 2 12 29 3" xfId="8002"/>
    <cellStyle name="Dane wejściowe 2 12 3" xfId="8003"/>
    <cellStyle name="Dane wejściowe 2 12 3 2" xfId="8004"/>
    <cellStyle name="Dane wejściowe 2 12 3 3" xfId="8005"/>
    <cellStyle name="Dane wejściowe 2 12 30" xfId="8006"/>
    <cellStyle name="Dane wejściowe 2 12 30 2" xfId="8007"/>
    <cellStyle name="Dane wejściowe 2 12 30 3" xfId="8008"/>
    <cellStyle name="Dane wejściowe 2 12 31" xfId="8009"/>
    <cellStyle name="Dane wejściowe 2 12 31 2" xfId="8010"/>
    <cellStyle name="Dane wejściowe 2 12 31 3" xfId="8011"/>
    <cellStyle name="Dane wejściowe 2 12 32" xfId="8012"/>
    <cellStyle name="Dane wejściowe 2 12 32 2" xfId="8013"/>
    <cellStyle name="Dane wejściowe 2 12 32 3" xfId="8014"/>
    <cellStyle name="Dane wejściowe 2 12 33" xfId="8015"/>
    <cellStyle name="Dane wejściowe 2 12 33 2" xfId="8016"/>
    <cellStyle name="Dane wejściowe 2 12 33 3" xfId="8017"/>
    <cellStyle name="Dane wejściowe 2 12 34" xfId="8018"/>
    <cellStyle name="Dane wejściowe 2 12 34 2" xfId="8019"/>
    <cellStyle name="Dane wejściowe 2 12 34 3" xfId="8020"/>
    <cellStyle name="Dane wejściowe 2 12 35" xfId="8021"/>
    <cellStyle name="Dane wejściowe 2 12 35 2" xfId="8022"/>
    <cellStyle name="Dane wejściowe 2 12 35 3" xfId="8023"/>
    <cellStyle name="Dane wejściowe 2 12 36" xfId="8024"/>
    <cellStyle name="Dane wejściowe 2 12 36 2" xfId="8025"/>
    <cellStyle name="Dane wejściowe 2 12 36 3" xfId="8026"/>
    <cellStyle name="Dane wejściowe 2 12 37" xfId="8027"/>
    <cellStyle name="Dane wejściowe 2 12 37 2" xfId="8028"/>
    <cellStyle name="Dane wejściowe 2 12 37 3" xfId="8029"/>
    <cellStyle name="Dane wejściowe 2 12 38" xfId="8030"/>
    <cellStyle name="Dane wejściowe 2 12 38 2" xfId="8031"/>
    <cellStyle name="Dane wejściowe 2 12 38 3" xfId="8032"/>
    <cellStyle name="Dane wejściowe 2 12 39" xfId="8033"/>
    <cellStyle name="Dane wejściowe 2 12 39 2" xfId="8034"/>
    <cellStyle name="Dane wejściowe 2 12 39 3" xfId="8035"/>
    <cellStyle name="Dane wejściowe 2 12 4" xfId="8036"/>
    <cellStyle name="Dane wejściowe 2 12 4 2" xfId="8037"/>
    <cellStyle name="Dane wejściowe 2 12 4 3" xfId="8038"/>
    <cellStyle name="Dane wejściowe 2 12 40" xfId="8039"/>
    <cellStyle name="Dane wejściowe 2 12 40 2" xfId="8040"/>
    <cellStyle name="Dane wejściowe 2 12 40 3" xfId="8041"/>
    <cellStyle name="Dane wejściowe 2 12 41" xfId="8042"/>
    <cellStyle name="Dane wejściowe 2 12 41 2" xfId="8043"/>
    <cellStyle name="Dane wejściowe 2 12 41 3" xfId="8044"/>
    <cellStyle name="Dane wejściowe 2 12 42" xfId="8045"/>
    <cellStyle name="Dane wejściowe 2 12 42 2" xfId="8046"/>
    <cellStyle name="Dane wejściowe 2 12 42 3" xfId="8047"/>
    <cellStyle name="Dane wejściowe 2 12 43" xfId="8048"/>
    <cellStyle name="Dane wejściowe 2 12 43 2" xfId="8049"/>
    <cellStyle name="Dane wejściowe 2 12 43 3" xfId="8050"/>
    <cellStyle name="Dane wejściowe 2 12 44" xfId="8051"/>
    <cellStyle name="Dane wejściowe 2 12 44 2" xfId="8052"/>
    <cellStyle name="Dane wejściowe 2 12 44 3" xfId="8053"/>
    <cellStyle name="Dane wejściowe 2 12 45" xfId="8054"/>
    <cellStyle name="Dane wejściowe 2 12 45 2" xfId="8055"/>
    <cellStyle name="Dane wejściowe 2 12 45 3" xfId="8056"/>
    <cellStyle name="Dane wejściowe 2 12 46" xfId="8057"/>
    <cellStyle name="Dane wejściowe 2 12 46 2" xfId="8058"/>
    <cellStyle name="Dane wejściowe 2 12 46 3" xfId="8059"/>
    <cellStyle name="Dane wejściowe 2 12 47" xfId="8060"/>
    <cellStyle name="Dane wejściowe 2 12 47 2" xfId="8061"/>
    <cellStyle name="Dane wejściowe 2 12 47 3" xfId="8062"/>
    <cellStyle name="Dane wejściowe 2 12 48" xfId="8063"/>
    <cellStyle name="Dane wejściowe 2 12 48 2" xfId="8064"/>
    <cellStyle name="Dane wejściowe 2 12 48 3" xfId="8065"/>
    <cellStyle name="Dane wejściowe 2 12 49" xfId="8066"/>
    <cellStyle name="Dane wejściowe 2 12 49 2" xfId="8067"/>
    <cellStyle name="Dane wejściowe 2 12 49 3" xfId="8068"/>
    <cellStyle name="Dane wejściowe 2 12 5" xfId="8069"/>
    <cellStyle name="Dane wejściowe 2 12 5 2" xfId="8070"/>
    <cellStyle name="Dane wejściowe 2 12 5 3" xfId="8071"/>
    <cellStyle name="Dane wejściowe 2 12 50" xfId="8072"/>
    <cellStyle name="Dane wejściowe 2 12 50 2" xfId="8073"/>
    <cellStyle name="Dane wejściowe 2 12 50 3" xfId="8074"/>
    <cellStyle name="Dane wejściowe 2 12 51" xfId="8075"/>
    <cellStyle name="Dane wejściowe 2 12 51 2" xfId="8076"/>
    <cellStyle name="Dane wejściowe 2 12 51 3" xfId="8077"/>
    <cellStyle name="Dane wejściowe 2 12 52" xfId="8078"/>
    <cellStyle name="Dane wejściowe 2 12 52 2" xfId="8079"/>
    <cellStyle name="Dane wejściowe 2 12 52 3" xfId="8080"/>
    <cellStyle name="Dane wejściowe 2 12 53" xfId="8081"/>
    <cellStyle name="Dane wejściowe 2 12 53 2" xfId="8082"/>
    <cellStyle name="Dane wejściowe 2 12 53 3" xfId="8083"/>
    <cellStyle name="Dane wejściowe 2 12 54" xfId="8084"/>
    <cellStyle name="Dane wejściowe 2 12 54 2" xfId="8085"/>
    <cellStyle name="Dane wejściowe 2 12 54 3" xfId="8086"/>
    <cellStyle name="Dane wejściowe 2 12 55" xfId="8087"/>
    <cellStyle name="Dane wejściowe 2 12 55 2" xfId="8088"/>
    <cellStyle name="Dane wejściowe 2 12 55 3" xfId="8089"/>
    <cellStyle name="Dane wejściowe 2 12 56" xfId="8090"/>
    <cellStyle name="Dane wejściowe 2 12 56 2" xfId="8091"/>
    <cellStyle name="Dane wejściowe 2 12 56 3" xfId="8092"/>
    <cellStyle name="Dane wejściowe 2 12 57" xfId="8093"/>
    <cellStyle name="Dane wejściowe 2 12 58" xfId="8094"/>
    <cellStyle name="Dane wejściowe 2 12 6" xfId="8095"/>
    <cellStyle name="Dane wejściowe 2 12 6 2" xfId="8096"/>
    <cellStyle name="Dane wejściowe 2 12 6 3" xfId="8097"/>
    <cellStyle name="Dane wejściowe 2 12 7" xfId="8098"/>
    <cellStyle name="Dane wejściowe 2 12 7 2" xfId="8099"/>
    <cellStyle name="Dane wejściowe 2 12 7 3" xfId="8100"/>
    <cellStyle name="Dane wejściowe 2 12 8" xfId="8101"/>
    <cellStyle name="Dane wejściowe 2 12 8 2" xfId="8102"/>
    <cellStyle name="Dane wejściowe 2 12 8 3" xfId="8103"/>
    <cellStyle name="Dane wejściowe 2 12 9" xfId="8104"/>
    <cellStyle name="Dane wejściowe 2 12 9 2" xfId="8105"/>
    <cellStyle name="Dane wejściowe 2 12 9 3" xfId="8106"/>
    <cellStyle name="Dane wejściowe 2 13" xfId="8107"/>
    <cellStyle name="Dane wejściowe 2 13 10" xfId="8108"/>
    <cellStyle name="Dane wejściowe 2 13 10 2" xfId="8109"/>
    <cellStyle name="Dane wejściowe 2 13 10 3" xfId="8110"/>
    <cellStyle name="Dane wejściowe 2 13 11" xfId="8111"/>
    <cellStyle name="Dane wejściowe 2 13 11 2" xfId="8112"/>
    <cellStyle name="Dane wejściowe 2 13 11 3" xfId="8113"/>
    <cellStyle name="Dane wejściowe 2 13 12" xfId="8114"/>
    <cellStyle name="Dane wejściowe 2 13 12 2" xfId="8115"/>
    <cellStyle name="Dane wejściowe 2 13 12 3" xfId="8116"/>
    <cellStyle name="Dane wejściowe 2 13 13" xfId="8117"/>
    <cellStyle name="Dane wejściowe 2 13 13 2" xfId="8118"/>
    <cellStyle name="Dane wejściowe 2 13 13 3" xfId="8119"/>
    <cellStyle name="Dane wejściowe 2 13 14" xfId="8120"/>
    <cellStyle name="Dane wejściowe 2 13 14 2" xfId="8121"/>
    <cellStyle name="Dane wejściowe 2 13 14 3" xfId="8122"/>
    <cellStyle name="Dane wejściowe 2 13 15" xfId="8123"/>
    <cellStyle name="Dane wejściowe 2 13 15 2" xfId="8124"/>
    <cellStyle name="Dane wejściowe 2 13 15 3" xfId="8125"/>
    <cellStyle name="Dane wejściowe 2 13 16" xfId="8126"/>
    <cellStyle name="Dane wejściowe 2 13 16 2" xfId="8127"/>
    <cellStyle name="Dane wejściowe 2 13 16 3" xfId="8128"/>
    <cellStyle name="Dane wejściowe 2 13 17" xfId="8129"/>
    <cellStyle name="Dane wejściowe 2 13 17 2" xfId="8130"/>
    <cellStyle name="Dane wejściowe 2 13 17 3" xfId="8131"/>
    <cellStyle name="Dane wejściowe 2 13 18" xfId="8132"/>
    <cellStyle name="Dane wejściowe 2 13 18 2" xfId="8133"/>
    <cellStyle name="Dane wejściowe 2 13 18 3" xfId="8134"/>
    <cellStyle name="Dane wejściowe 2 13 19" xfId="8135"/>
    <cellStyle name="Dane wejściowe 2 13 19 2" xfId="8136"/>
    <cellStyle name="Dane wejściowe 2 13 19 3" xfId="8137"/>
    <cellStyle name="Dane wejściowe 2 13 19 4" xfId="8138"/>
    <cellStyle name="Dane wejściowe 2 13 2" xfId="8139"/>
    <cellStyle name="Dane wejściowe 2 13 2 2" xfId="8140"/>
    <cellStyle name="Dane wejściowe 2 13 2 3" xfId="8141"/>
    <cellStyle name="Dane wejściowe 2 13 2 4" xfId="8142"/>
    <cellStyle name="Dane wejściowe 2 13 20" xfId="8143"/>
    <cellStyle name="Dane wejściowe 2 13 20 2" xfId="8144"/>
    <cellStyle name="Dane wejściowe 2 13 20 3" xfId="8145"/>
    <cellStyle name="Dane wejściowe 2 13 20 4" xfId="8146"/>
    <cellStyle name="Dane wejściowe 2 13 21" xfId="8147"/>
    <cellStyle name="Dane wejściowe 2 13 21 2" xfId="8148"/>
    <cellStyle name="Dane wejściowe 2 13 21 3" xfId="8149"/>
    <cellStyle name="Dane wejściowe 2 13 22" xfId="8150"/>
    <cellStyle name="Dane wejściowe 2 13 22 2" xfId="8151"/>
    <cellStyle name="Dane wejściowe 2 13 22 3" xfId="8152"/>
    <cellStyle name="Dane wejściowe 2 13 23" xfId="8153"/>
    <cellStyle name="Dane wejściowe 2 13 23 2" xfId="8154"/>
    <cellStyle name="Dane wejściowe 2 13 23 3" xfId="8155"/>
    <cellStyle name="Dane wejściowe 2 13 24" xfId="8156"/>
    <cellStyle name="Dane wejściowe 2 13 24 2" xfId="8157"/>
    <cellStyle name="Dane wejściowe 2 13 24 3" xfId="8158"/>
    <cellStyle name="Dane wejściowe 2 13 25" xfId="8159"/>
    <cellStyle name="Dane wejściowe 2 13 25 2" xfId="8160"/>
    <cellStyle name="Dane wejściowe 2 13 25 3" xfId="8161"/>
    <cellStyle name="Dane wejściowe 2 13 26" xfId="8162"/>
    <cellStyle name="Dane wejściowe 2 13 26 2" xfId="8163"/>
    <cellStyle name="Dane wejściowe 2 13 26 3" xfId="8164"/>
    <cellStyle name="Dane wejściowe 2 13 27" xfId="8165"/>
    <cellStyle name="Dane wejściowe 2 13 27 2" xfId="8166"/>
    <cellStyle name="Dane wejściowe 2 13 27 3" xfId="8167"/>
    <cellStyle name="Dane wejściowe 2 13 28" xfId="8168"/>
    <cellStyle name="Dane wejściowe 2 13 28 2" xfId="8169"/>
    <cellStyle name="Dane wejściowe 2 13 28 3" xfId="8170"/>
    <cellStyle name="Dane wejściowe 2 13 29" xfId="8171"/>
    <cellStyle name="Dane wejściowe 2 13 29 2" xfId="8172"/>
    <cellStyle name="Dane wejściowe 2 13 29 3" xfId="8173"/>
    <cellStyle name="Dane wejściowe 2 13 3" xfId="8174"/>
    <cellStyle name="Dane wejściowe 2 13 3 2" xfId="8175"/>
    <cellStyle name="Dane wejściowe 2 13 3 3" xfId="8176"/>
    <cellStyle name="Dane wejściowe 2 13 3 4" xfId="8177"/>
    <cellStyle name="Dane wejściowe 2 13 30" xfId="8178"/>
    <cellStyle name="Dane wejściowe 2 13 30 2" xfId="8179"/>
    <cellStyle name="Dane wejściowe 2 13 30 3" xfId="8180"/>
    <cellStyle name="Dane wejściowe 2 13 31" xfId="8181"/>
    <cellStyle name="Dane wejściowe 2 13 31 2" xfId="8182"/>
    <cellStyle name="Dane wejściowe 2 13 31 3" xfId="8183"/>
    <cellStyle name="Dane wejściowe 2 13 32" xfId="8184"/>
    <cellStyle name="Dane wejściowe 2 13 32 2" xfId="8185"/>
    <cellStyle name="Dane wejściowe 2 13 32 3" xfId="8186"/>
    <cellStyle name="Dane wejściowe 2 13 33" xfId="8187"/>
    <cellStyle name="Dane wejściowe 2 13 33 2" xfId="8188"/>
    <cellStyle name="Dane wejściowe 2 13 33 3" xfId="8189"/>
    <cellStyle name="Dane wejściowe 2 13 34" xfId="8190"/>
    <cellStyle name="Dane wejściowe 2 13 34 2" xfId="8191"/>
    <cellStyle name="Dane wejściowe 2 13 34 3" xfId="8192"/>
    <cellStyle name="Dane wejściowe 2 13 35" xfId="8193"/>
    <cellStyle name="Dane wejściowe 2 13 35 2" xfId="8194"/>
    <cellStyle name="Dane wejściowe 2 13 35 3" xfId="8195"/>
    <cellStyle name="Dane wejściowe 2 13 36" xfId="8196"/>
    <cellStyle name="Dane wejściowe 2 13 36 2" xfId="8197"/>
    <cellStyle name="Dane wejściowe 2 13 36 3" xfId="8198"/>
    <cellStyle name="Dane wejściowe 2 13 37" xfId="8199"/>
    <cellStyle name="Dane wejściowe 2 13 37 2" xfId="8200"/>
    <cellStyle name="Dane wejściowe 2 13 37 3" xfId="8201"/>
    <cellStyle name="Dane wejściowe 2 13 38" xfId="8202"/>
    <cellStyle name="Dane wejściowe 2 13 38 2" xfId="8203"/>
    <cellStyle name="Dane wejściowe 2 13 38 3" xfId="8204"/>
    <cellStyle name="Dane wejściowe 2 13 39" xfId="8205"/>
    <cellStyle name="Dane wejściowe 2 13 39 2" xfId="8206"/>
    <cellStyle name="Dane wejściowe 2 13 39 3" xfId="8207"/>
    <cellStyle name="Dane wejściowe 2 13 4" xfId="8208"/>
    <cellStyle name="Dane wejściowe 2 13 4 2" xfId="8209"/>
    <cellStyle name="Dane wejściowe 2 13 4 3" xfId="8210"/>
    <cellStyle name="Dane wejściowe 2 13 4 4" xfId="8211"/>
    <cellStyle name="Dane wejściowe 2 13 40" xfId="8212"/>
    <cellStyle name="Dane wejściowe 2 13 40 2" xfId="8213"/>
    <cellStyle name="Dane wejściowe 2 13 40 3" xfId="8214"/>
    <cellStyle name="Dane wejściowe 2 13 41" xfId="8215"/>
    <cellStyle name="Dane wejściowe 2 13 41 2" xfId="8216"/>
    <cellStyle name="Dane wejściowe 2 13 41 3" xfId="8217"/>
    <cellStyle name="Dane wejściowe 2 13 42" xfId="8218"/>
    <cellStyle name="Dane wejściowe 2 13 42 2" xfId="8219"/>
    <cellStyle name="Dane wejściowe 2 13 42 3" xfId="8220"/>
    <cellStyle name="Dane wejściowe 2 13 43" xfId="8221"/>
    <cellStyle name="Dane wejściowe 2 13 43 2" xfId="8222"/>
    <cellStyle name="Dane wejściowe 2 13 43 3" xfId="8223"/>
    <cellStyle name="Dane wejściowe 2 13 44" xfId="8224"/>
    <cellStyle name="Dane wejściowe 2 13 44 2" xfId="8225"/>
    <cellStyle name="Dane wejściowe 2 13 44 3" xfId="8226"/>
    <cellStyle name="Dane wejściowe 2 13 45" xfId="8227"/>
    <cellStyle name="Dane wejściowe 2 13 45 2" xfId="8228"/>
    <cellStyle name="Dane wejściowe 2 13 45 3" xfId="8229"/>
    <cellStyle name="Dane wejściowe 2 13 46" xfId="8230"/>
    <cellStyle name="Dane wejściowe 2 13 46 2" xfId="8231"/>
    <cellStyle name="Dane wejściowe 2 13 46 3" xfId="8232"/>
    <cellStyle name="Dane wejściowe 2 13 47" xfId="8233"/>
    <cellStyle name="Dane wejściowe 2 13 47 2" xfId="8234"/>
    <cellStyle name="Dane wejściowe 2 13 47 3" xfId="8235"/>
    <cellStyle name="Dane wejściowe 2 13 48" xfId="8236"/>
    <cellStyle name="Dane wejściowe 2 13 48 2" xfId="8237"/>
    <cellStyle name="Dane wejściowe 2 13 48 3" xfId="8238"/>
    <cellStyle name="Dane wejściowe 2 13 49" xfId="8239"/>
    <cellStyle name="Dane wejściowe 2 13 49 2" xfId="8240"/>
    <cellStyle name="Dane wejściowe 2 13 49 3" xfId="8241"/>
    <cellStyle name="Dane wejściowe 2 13 5" xfId="8242"/>
    <cellStyle name="Dane wejściowe 2 13 5 2" xfId="8243"/>
    <cellStyle name="Dane wejściowe 2 13 5 3" xfId="8244"/>
    <cellStyle name="Dane wejściowe 2 13 5 4" xfId="8245"/>
    <cellStyle name="Dane wejściowe 2 13 50" xfId="8246"/>
    <cellStyle name="Dane wejściowe 2 13 50 2" xfId="8247"/>
    <cellStyle name="Dane wejściowe 2 13 50 3" xfId="8248"/>
    <cellStyle name="Dane wejściowe 2 13 51" xfId="8249"/>
    <cellStyle name="Dane wejściowe 2 13 51 2" xfId="8250"/>
    <cellStyle name="Dane wejściowe 2 13 51 3" xfId="8251"/>
    <cellStyle name="Dane wejściowe 2 13 52" xfId="8252"/>
    <cellStyle name="Dane wejściowe 2 13 52 2" xfId="8253"/>
    <cellStyle name="Dane wejściowe 2 13 52 3" xfId="8254"/>
    <cellStyle name="Dane wejściowe 2 13 53" xfId="8255"/>
    <cellStyle name="Dane wejściowe 2 13 53 2" xfId="8256"/>
    <cellStyle name="Dane wejściowe 2 13 53 3" xfId="8257"/>
    <cellStyle name="Dane wejściowe 2 13 54" xfId="8258"/>
    <cellStyle name="Dane wejściowe 2 13 54 2" xfId="8259"/>
    <cellStyle name="Dane wejściowe 2 13 54 3" xfId="8260"/>
    <cellStyle name="Dane wejściowe 2 13 55" xfId="8261"/>
    <cellStyle name="Dane wejściowe 2 13 55 2" xfId="8262"/>
    <cellStyle name="Dane wejściowe 2 13 55 3" xfId="8263"/>
    <cellStyle name="Dane wejściowe 2 13 56" xfId="8264"/>
    <cellStyle name="Dane wejściowe 2 13 56 2" xfId="8265"/>
    <cellStyle name="Dane wejściowe 2 13 56 3" xfId="8266"/>
    <cellStyle name="Dane wejściowe 2 13 57" xfId="8267"/>
    <cellStyle name="Dane wejściowe 2 13 58" xfId="8268"/>
    <cellStyle name="Dane wejściowe 2 13 6" xfId="8269"/>
    <cellStyle name="Dane wejściowe 2 13 6 2" xfId="8270"/>
    <cellStyle name="Dane wejściowe 2 13 6 3" xfId="8271"/>
    <cellStyle name="Dane wejściowe 2 13 6 4" xfId="8272"/>
    <cellStyle name="Dane wejściowe 2 13 7" xfId="8273"/>
    <cellStyle name="Dane wejściowe 2 13 7 2" xfId="8274"/>
    <cellStyle name="Dane wejściowe 2 13 7 3" xfId="8275"/>
    <cellStyle name="Dane wejściowe 2 13 7 4" xfId="8276"/>
    <cellStyle name="Dane wejściowe 2 13 8" xfId="8277"/>
    <cellStyle name="Dane wejściowe 2 13 8 2" xfId="8278"/>
    <cellStyle name="Dane wejściowe 2 13 8 3" xfId="8279"/>
    <cellStyle name="Dane wejściowe 2 13 8 4" xfId="8280"/>
    <cellStyle name="Dane wejściowe 2 13 9" xfId="8281"/>
    <cellStyle name="Dane wejściowe 2 13 9 2" xfId="8282"/>
    <cellStyle name="Dane wejściowe 2 13 9 3" xfId="8283"/>
    <cellStyle name="Dane wejściowe 2 13 9 4" xfId="8284"/>
    <cellStyle name="Dane wejściowe 2 14" xfId="8285"/>
    <cellStyle name="Dane wejściowe 2 14 10" xfId="8286"/>
    <cellStyle name="Dane wejściowe 2 14 10 2" xfId="8287"/>
    <cellStyle name="Dane wejściowe 2 14 10 3" xfId="8288"/>
    <cellStyle name="Dane wejściowe 2 14 10 4" xfId="8289"/>
    <cellStyle name="Dane wejściowe 2 14 11" xfId="8290"/>
    <cellStyle name="Dane wejściowe 2 14 11 2" xfId="8291"/>
    <cellStyle name="Dane wejściowe 2 14 11 3" xfId="8292"/>
    <cellStyle name="Dane wejściowe 2 14 11 4" xfId="8293"/>
    <cellStyle name="Dane wejściowe 2 14 12" xfId="8294"/>
    <cellStyle name="Dane wejściowe 2 14 12 2" xfId="8295"/>
    <cellStyle name="Dane wejściowe 2 14 12 3" xfId="8296"/>
    <cellStyle name="Dane wejściowe 2 14 12 4" xfId="8297"/>
    <cellStyle name="Dane wejściowe 2 14 13" xfId="8298"/>
    <cellStyle name="Dane wejściowe 2 14 13 2" xfId="8299"/>
    <cellStyle name="Dane wejściowe 2 14 13 3" xfId="8300"/>
    <cellStyle name="Dane wejściowe 2 14 13 4" xfId="8301"/>
    <cellStyle name="Dane wejściowe 2 14 14" xfId="8302"/>
    <cellStyle name="Dane wejściowe 2 14 14 2" xfId="8303"/>
    <cellStyle name="Dane wejściowe 2 14 14 3" xfId="8304"/>
    <cellStyle name="Dane wejściowe 2 14 14 4" xfId="8305"/>
    <cellStyle name="Dane wejściowe 2 14 15" xfId="8306"/>
    <cellStyle name="Dane wejściowe 2 14 15 2" xfId="8307"/>
    <cellStyle name="Dane wejściowe 2 14 15 3" xfId="8308"/>
    <cellStyle name="Dane wejściowe 2 14 15 4" xfId="8309"/>
    <cellStyle name="Dane wejściowe 2 14 16" xfId="8310"/>
    <cellStyle name="Dane wejściowe 2 14 16 2" xfId="8311"/>
    <cellStyle name="Dane wejściowe 2 14 16 3" xfId="8312"/>
    <cellStyle name="Dane wejściowe 2 14 16 4" xfId="8313"/>
    <cellStyle name="Dane wejściowe 2 14 17" xfId="8314"/>
    <cellStyle name="Dane wejściowe 2 14 17 2" xfId="8315"/>
    <cellStyle name="Dane wejściowe 2 14 17 3" xfId="8316"/>
    <cellStyle name="Dane wejściowe 2 14 17 4" xfId="8317"/>
    <cellStyle name="Dane wejściowe 2 14 18" xfId="8318"/>
    <cellStyle name="Dane wejściowe 2 14 18 2" xfId="8319"/>
    <cellStyle name="Dane wejściowe 2 14 18 3" xfId="8320"/>
    <cellStyle name="Dane wejściowe 2 14 18 4" xfId="8321"/>
    <cellStyle name="Dane wejściowe 2 14 19" xfId="8322"/>
    <cellStyle name="Dane wejściowe 2 14 19 2" xfId="8323"/>
    <cellStyle name="Dane wejściowe 2 14 19 3" xfId="8324"/>
    <cellStyle name="Dane wejściowe 2 14 19 4" xfId="8325"/>
    <cellStyle name="Dane wejściowe 2 14 2" xfId="8326"/>
    <cellStyle name="Dane wejściowe 2 14 2 2" xfId="8327"/>
    <cellStyle name="Dane wejściowe 2 14 2 3" xfId="8328"/>
    <cellStyle name="Dane wejściowe 2 14 2 4" xfId="8329"/>
    <cellStyle name="Dane wejściowe 2 14 20" xfId="8330"/>
    <cellStyle name="Dane wejściowe 2 14 20 2" xfId="8331"/>
    <cellStyle name="Dane wejściowe 2 14 20 3" xfId="8332"/>
    <cellStyle name="Dane wejściowe 2 14 20 4" xfId="8333"/>
    <cellStyle name="Dane wejściowe 2 14 21" xfId="8334"/>
    <cellStyle name="Dane wejściowe 2 14 21 2" xfId="8335"/>
    <cellStyle name="Dane wejściowe 2 14 21 3" xfId="8336"/>
    <cellStyle name="Dane wejściowe 2 14 22" xfId="8337"/>
    <cellStyle name="Dane wejściowe 2 14 22 2" xfId="8338"/>
    <cellStyle name="Dane wejściowe 2 14 22 3" xfId="8339"/>
    <cellStyle name="Dane wejściowe 2 14 23" xfId="8340"/>
    <cellStyle name="Dane wejściowe 2 14 23 2" xfId="8341"/>
    <cellStyle name="Dane wejściowe 2 14 23 3" xfId="8342"/>
    <cellStyle name="Dane wejściowe 2 14 24" xfId="8343"/>
    <cellStyle name="Dane wejściowe 2 14 24 2" xfId="8344"/>
    <cellStyle name="Dane wejściowe 2 14 24 3" xfId="8345"/>
    <cellStyle name="Dane wejściowe 2 14 25" xfId="8346"/>
    <cellStyle name="Dane wejściowe 2 14 25 2" xfId="8347"/>
    <cellStyle name="Dane wejściowe 2 14 25 3" xfId="8348"/>
    <cellStyle name="Dane wejściowe 2 14 26" xfId="8349"/>
    <cellStyle name="Dane wejściowe 2 14 26 2" xfId="8350"/>
    <cellStyle name="Dane wejściowe 2 14 26 3" xfId="8351"/>
    <cellStyle name="Dane wejściowe 2 14 27" xfId="8352"/>
    <cellStyle name="Dane wejściowe 2 14 27 2" xfId="8353"/>
    <cellStyle name="Dane wejściowe 2 14 27 3" xfId="8354"/>
    <cellStyle name="Dane wejściowe 2 14 28" xfId="8355"/>
    <cellStyle name="Dane wejściowe 2 14 28 2" xfId="8356"/>
    <cellStyle name="Dane wejściowe 2 14 28 3" xfId="8357"/>
    <cellStyle name="Dane wejściowe 2 14 29" xfId="8358"/>
    <cellStyle name="Dane wejściowe 2 14 29 2" xfId="8359"/>
    <cellStyle name="Dane wejściowe 2 14 29 3" xfId="8360"/>
    <cellStyle name="Dane wejściowe 2 14 3" xfId="8361"/>
    <cellStyle name="Dane wejściowe 2 14 3 2" xfId="8362"/>
    <cellStyle name="Dane wejściowe 2 14 3 3" xfId="8363"/>
    <cellStyle name="Dane wejściowe 2 14 3 4" xfId="8364"/>
    <cellStyle name="Dane wejściowe 2 14 30" xfId="8365"/>
    <cellStyle name="Dane wejściowe 2 14 30 2" xfId="8366"/>
    <cellStyle name="Dane wejściowe 2 14 30 3" xfId="8367"/>
    <cellStyle name="Dane wejściowe 2 14 31" xfId="8368"/>
    <cellStyle name="Dane wejściowe 2 14 31 2" xfId="8369"/>
    <cellStyle name="Dane wejściowe 2 14 31 3" xfId="8370"/>
    <cellStyle name="Dane wejściowe 2 14 32" xfId="8371"/>
    <cellStyle name="Dane wejściowe 2 14 32 2" xfId="8372"/>
    <cellStyle name="Dane wejściowe 2 14 32 3" xfId="8373"/>
    <cellStyle name="Dane wejściowe 2 14 33" xfId="8374"/>
    <cellStyle name="Dane wejściowe 2 14 33 2" xfId="8375"/>
    <cellStyle name="Dane wejściowe 2 14 33 3" xfId="8376"/>
    <cellStyle name="Dane wejściowe 2 14 34" xfId="8377"/>
    <cellStyle name="Dane wejściowe 2 14 34 2" xfId="8378"/>
    <cellStyle name="Dane wejściowe 2 14 34 3" xfId="8379"/>
    <cellStyle name="Dane wejściowe 2 14 35" xfId="8380"/>
    <cellStyle name="Dane wejściowe 2 14 35 2" xfId="8381"/>
    <cellStyle name="Dane wejściowe 2 14 35 3" xfId="8382"/>
    <cellStyle name="Dane wejściowe 2 14 36" xfId="8383"/>
    <cellStyle name="Dane wejściowe 2 14 36 2" xfId="8384"/>
    <cellStyle name="Dane wejściowe 2 14 36 3" xfId="8385"/>
    <cellStyle name="Dane wejściowe 2 14 37" xfId="8386"/>
    <cellStyle name="Dane wejściowe 2 14 37 2" xfId="8387"/>
    <cellStyle name="Dane wejściowe 2 14 37 3" xfId="8388"/>
    <cellStyle name="Dane wejściowe 2 14 38" xfId="8389"/>
    <cellStyle name="Dane wejściowe 2 14 38 2" xfId="8390"/>
    <cellStyle name="Dane wejściowe 2 14 38 3" xfId="8391"/>
    <cellStyle name="Dane wejściowe 2 14 39" xfId="8392"/>
    <cellStyle name="Dane wejściowe 2 14 39 2" xfId="8393"/>
    <cellStyle name="Dane wejściowe 2 14 39 3" xfId="8394"/>
    <cellStyle name="Dane wejściowe 2 14 4" xfId="8395"/>
    <cellStyle name="Dane wejściowe 2 14 4 2" xfId="8396"/>
    <cellStyle name="Dane wejściowe 2 14 4 3" xfId="8397"/>
    <cellStyle name="Dane wejściowe 2 14 4 4" xfId="8398"/>
    <cellStyle name="Dane wejściowe 2 14 40" xfId="8399"/>
    <cellStyle name="Dane wejściowe 2 14 40 2" xfId="8400"/>
    <cellStyle name="Dane wejściowe 2 14 40 3" xfId="8401"/>
    <cellStyle name="Dane wejściowe 2 14 41" xfId="8402"/>
    <cellStyle name="Dane wejściowe 2 14 41 2" xfId="8403"/>
    <cellStyle name="Dane wejściowe 2 14 41 3" xfId="8404"/>
    <cellStyle name="Dane wejściowe 2 14 42" xfId="8405"/>
    <cellStyle name="Dane wejściowe 2 14 42 2" xfId="8406"/>
    <cellStyle name="Dane wejściowe 2 14 42 3" xfId="8407"/>
    <cellStyle name="Dane wejściowe 2 14 43" xfId="8408"/>
    <cellStyle name="Dane wejściowe 2 14 43 2" xfId="8409"/>
    <cellStyle name="Dane wejściowe 2 14 43 3" xfId="8410"/>
    <cellStyle name="Dane wejściowe 2 14 44" xfId="8411"/>
    <cellStyle name="Dane wejściowe 2 14 44 2" xfId="8412"/>
    <cellStyle name="Dane wejściowe 2 14 44 3" xfId="8413"/>
    <cellStyle name="Dane wejściowe 2 14 45" xfId="8414"/>
    <cellStyle name="Dane wejściowe 2 14 45 2" xfId="8415"/>
    <cellStyle name="Dane wejściowe 2 14 45 3" xfId="8416"/>
    <cellStyle name="Dane wejściowe 2 14 46" xfId="8417"/>
    <cellStyle name="Dane wejściowe 2 14 46 2" xfId="8418"/>
    <cellStyle name="Dane wejściowe 2 14 46 3" xfId="8419"/>
    <cellStyle name="Dane wejściowe 2 14 47" xfId="8420"/>
    <cellStyle name="Dane wejściowe 2 14 47 2" xfId="8421"/>
    <cellStyle name="Dane wejściowe 2 14 47 3" xfId="8422"/>
    <cellStyle name="Dane wejściowe 2 14 48" xfId="8423"/>
    <cellStyle name="Dane wejściowe 2 14 48 2" xfId="8424"/>
    <cellStyle name="Dane wejściowe 2 14 48 3" xfId="8425"/>
    <cellStyle name="Dane wejściowe 2 14 49" xfId="8426"/>
    <cellStyle name="Dane wejściowe 2 14 49 2" xfId="8427"/>
    <cellStyle name="Dane wejściowe 2 14 49 3" xfId="8428"/>
    <cellStyle name="Dane wejściowe 2 14 5" xfId="8429"/>
    <cellStyle name="Dane wejściowe 2 14 5 2" xfId="8430"/>
    <cellStyle name="Dane wejściowe 2 14 5 3" xfId="8431"/>
    <cellStyle name="Dane wejściowe 2 14 5 4" xfId="8432"/>
    <cellStyle name="Dane wejściowe 2 14 50" xfId="8433"/>
    <cellStyle name="Dane wejściowe 2 14 50 2" xfId="8434"/>
    <cellStyle name="Dane wejściowe 2 14 50 3" xfId="8435"/>
    <cellStyle name="Dane wejściowe 2 14 51" xfId="8436"/>
    <cellStyle name="Dane wejściowe 2 14 51 2" xfId="8437"/>
    <cellStyle name="Dane wejściowe 2 14 51 3" xfId="8438"/>
    <cellStyle name="Dane wejściowe 2 14 52" xfId="8439"/>
    <cellStyle name="Dane wejściowe 2 14 52 2" xfId="8440"/>
    <cellStyle name="Dane wejściowe 2 14 52 3" xfId="8441"/>
    <cellStyle name="Dane wejściowe 2 14 53" xfId="8442"/>
    <cellStyle name="Dane wejściowe 2 14 53 2" xfId="8443"/>
    <cellStyle name="Dane wejściowe 2 14 53 3" xfId="8444"/>
    <cellStyle name="Dane wejściowe 2 14 54" xfId="8445"/>
    <cellStyle name="Dane wejściowe 2 14 54 2" xfId="8446"/>
    <cellStyle name="Dane wejściowe 2 14 54 3" xfId="8447"/>
    <cellStyle name="Dane wejściowe 2 14 55" xfId="8448"/>
    <cellStyle name="Dane wejściowe 2 14 55 2" xfId="8449"/>
    <cellStyle name="Dane wejściowe 2 14 55 3" xfId="8450"/>
    <cellStyle name="Dane wejściowe 2 14 56" xfId="8451"/>
    <cellStyle name="Dane wejściowe 2 14 56 2" xfId="8452"/>
    <cellStyle name="Dane wejściowe 2 14 56 3" xfId="8453"/>
    <cellStyle name="Dane wejściowe 2 14 57" xfId="8454"/>
    <cellStyle name="Dane wejściowe 2 14 58" xfId="8455"/>
    <cellStyle name="Dane wejściowe 2 14 6" xfId="8456"/>
    <cellStyle name="Dane wejściowe 2 14 6 2" xfId="8457"/>
    <cellStyle name="Dane wejściowe 2 14 6 3" xfId="8458"/>
    <cellStyle name="Dane wejściowe 2 14 6 4" xfId="8459"/>
    <cellStyle name="Dane wejściowe 2 14 7" xfId="8460"/>
    <cellStyle name="Dane wejściowe 2 14 7 2" xfId="8461"/>
    <cellStyle name="Dane wejściowe 2 14 7 3" xfId="8462"/>
    <cellStyle name="Dane wejściowe 2 14 7 4" xfId="8463"/>
    <cellStyle name="Dane wejściowe 2 14 8" xfId="8464"/>
    <cellStyle name="Dane wejściowe 2 14 8 2" xfId="8465"/>
    <cellStyle name="Dane wejściowe 2 14 8 3" xfId="8466"/>
    <cellStyle name="Dane wejściowe 2 14 8 4" xfId="8467"/>
    <cellStyle name="Dane wejściowe 2 14 9" xfId="8468"/>
    <cellStyle name="Dane wejściowe 2 14 9 2" xfId="8469"/>
    <cellStyle name="Dane wejściowe 2 14 9 3" xfId="8470"/>
    <cellStyle name="Dane wejściowe 2 14 9 4" xfId="8471"/>
    <cellStyle name="Dane wejściowe 2 15" xfId="8472"/>
    <cellStyle name="Dane wejściowe 2 15 10" xfId="8473"/>
    <cellStyle name="Dane wejściowe 2 15 10 2" xfId="8474"/>
    <cellStyle name="Dane wejściowe 2 15 10 3" xfId="8475"/>
    <cellStyle name="Dane wejściowe 2 15 10 4" xfId="8476"/>
    <cellStyle name="Dane wejściowe 2 15 11" xfId="8477"/>
    <cellStyle name="Dane wejściowe 2 15 11 2" xfId="8478"/>
    <cellStyle name="Dane wejściowe 2 15 11 3" xfId="8479"/>
    <cellStyle name="Dane wejściowe 2 15 11 4" xfId="8480"/>
    <cellStyle name="Dane wejściowe 2 15 12" xfId="8481"/>
    <cellStyle name="Dane wejściowe 2 15 12 2" xfId="8482"/>
    <cellStyle name="Dane wejściowe 2 15 12 3" xfId="8483"/>
    <cellStyle name="Dane wejściowe 2 15 12 4" xfId="8484"/>
    <cellStyle name="Dane wejściowe 2 15 13" xfId="8485"/>
    <cellStyle name="Dane wejściowe 2 15 13 2" xfId="8486"/>
    <cellStyle name="Dane wejściowe 2 15 13 3" xfId="8487"/>
    <cellStyle name="Dane wejściowe 2 15 13 4" xfId="8488"/>
    <cellStyle name="Dane wejściowe 2 15 14" xfId="8489"/>
    <cellStyle name="Dane wejściowe 2 15 14 2" xfId="8490"/>
    <cellStyle name="Dane wejściowe 2 15 14 3" xfId="8491"/>
    <cellStyle name="Dane wejściowe 2 15 14 4" xfId="8492"/>
    <cellStyle name="Dane wejściowe 2 15 15" xfId="8493"/>
    <cellStyle name="Dane wejściowe 2 15 15 2" xfId="8494"/>
    <cellStyle name="Dane wejściowe 2 15 15 3" xfId="8495"/>
    <cellStyle name="Dane wejściowe 2 15 15 4" xfId="8496"/>
    <cellStyle name="Dane wejściowe 2 15 16" xfId="8497"/>
    <cellStyle name="Dane wejściowe 2 15 16 2" xfId="8498"/>
    <cellStyle name="Dane wejściowe 2 15 16 3" xfId="8499"/>
    <cellStyle name="Dane wejściowe 2 15 16 4" xfId="8500"/>
    <cellStyle name="Dane wejściowe 2 15 17" xfId="8501"/>
    <cellStyle name="Dane wejściowe 2 15 17 2" xfId="8502"/>
    <cellStyle name="Dane wejściowe 2 15 17 3" xfId="8503"/>
    <cellStyle name="Dane wejściowe 2 15 17 4" xfId="8504"/>
    <cellStyle name="Dane wejściowe 2 15 18" xfId="8505"/>
    <cellStyle name="Dane wejściowe 2 15 18 2" xfId="8506"/>
    <cellStyle name="Dane wejściowe 2 15 18 3" xfId="8507"/>
    <cellStyle name="Dane wejściowe 2 15 18 4" xfId="8508"/>
    <cellStyle name="Dane wejściowe 2 15 19" xfId="8509"/>
    <cellStyle name="Dane wejściowe 2 15 19 2" xfId="8510"/>
    <cellStyle name="Dane wejściowe 2 15 19 3" xfId="8511"/>
    <cellStyle name="Dane wejściowe 2 15 19 4" xfId="8512"/>
    <cellStyle name="Dane wejściowe 2 15 2" xfId="8513"/>
    <cellStyle name="Dane wejściowe 2 15 2 2" xfId="8514"/>
    <cellStyle name="Dane wejściowe 2 15 2 3" xfId="8515"/>
    <cellStyle name="Dane wejściowe 2 15 2 4" xfId="8516"/>
    <cellStyle name="Dane wejściowe 2 15 20" xfId="8517"/>
    <cellStyle name="Dane wejściowe 2 15 20 2" xfId="8518"/>
    <cellStyle name="Dane wejściowe 2 15 20 3" xfId="8519"/>
    <cellStyle name="Dane wejściowe 2 15 20 4" xfId="8520"/>
    <cellStyle name="Dane wejściowe 2 15 21" xfId="8521"/>
    <cellStyle name="Dane wejściowe 2 15 21 2" xfId="8522"/>
    <cellStyle name="Dane wejściowe 2 15 21 3" xfId="8523"/>
    <cellStyle name="Dane wejściowe 2 15 22" xfId="8524"/>
    <cellStyle name="Dane wejściowe 2 15 22 2" xfId="8525"/>
    <cellStyle name="Dane wejściowe 2 15 22 3" xfId="8526"/>
    <cellStyle name="Dane wejściowe 2 15 23" xfId="8527"/>
    <cellStyle name="Dane wejściowe 2 15 23 2" xfId="8528"/>
    <cellStyle name="Dane wejściowe 2 15 23 3" xfId="8529"/>
    <cellStyle name="Dane wejściowe 2 15 24" xfId="8530"/>
    <cellStyle name="Dane wejściowe 2 15 24 2" xfId="8531"/>
    <cellStyle name="Dane wejściowe 2 15 24 3" xfId="8532"/>
    <cellStyle name="Dane wejściowe 2 15 25" xfId="8533"/>
    <cellStyle name="Dane wejściowe 2 15 25 2" xfId="8534"/>
    <cellStyle name="Dane wejściowe 2 15 25 3" xfId="8535"/>
    <cellStyle name="Dane wejściowe 2 15 26" xfId="8536"/>
    <cellStyle name="Dane wejściowe 2 15 26 2" xfId="8537"/>
    <cellStyle name="Dane wejściowe 2 15 26 3" xfId="8538"/>
    <cellStyle name="Dane wejściowe 2 15 27" xfId="8539"/>
    <cellStyle name="Dane wejściowe 2 15 27 2" xfId="8540"/>
    <cellStyle name="Dane wejściowe 2 15 27 3" xfId="8541"/>
    <cellStyle name="Dane wejściowe 2 15 28" xfId="8542"/>
    <cellStyle name="Dane wejściowe 2 15 28 2" xfId="8543"/>
    <cellStyle name="Dane wejściowe 2 15 28 3" xfId="8544"/>
    <cellStyle name="Dane wejściowe 2 15 29" xfId="8545"/>
    <cellStyle name="Dane wejściowe 2 15 29 2" xfId="8546"/>
    <cellStyle name="Dane wejściowe 2 15 29 3" xfId="8547"/>
    <cellStyle name="Dane wejściowe 2 15 3" xfId="8548"/>
    <cellStyle name="Dane wejściowe 2 15 3 2" xfId="8549"/>
    <cellStyle name="Dane wejściowe 2 15 3 3" xfId="8550"/>
    <cellStyle name="Dane wejściowe 2 15 3 4" xfId="8551"/>
    <cellStyle name="Dane wejściowe 2 15 30" xfId="8552"/>
    <cellStyle name="Dane wejściowe 2 15 30 2" xfId="8553"/>
    <cellStyle name="Dane wejściowe 2 15 30 3" xfId="8554"/>
    <cellStyle name="Dane wejściowe 2 15 31" xfId="8555"/>
    <cellStyle name="Dane wejściowe 2 15 31 2" xfId="8556"/>
    <cellStyle name="Dane wejściowe 2 15 31 3" xfId="8557"/>
    <cellStyle name="Dane wejściowe 2 15 32" xfId="8558"/>
    <cellStyle name="Dane wejściowe 2 15 32 2" xfId="8559"/>
    <cellStyle name="Dane wejściowe 2 15 32 3" xfId="8560"/>
    <cellStyle name="Dane wejściowe 2 15 33" xfId="8561"/>
    <cellStyle name="Dane wejściowe 2 15 33 2" xfId="8562"/>
    <cellStyle name="Dane wejściowe 2 15 33 3" xfId="8563"/>
    <cellStyle name="Dane wejściowe 2 15 34" xfId="8564"/>
    <cellStyle name="Dane wejściowe 2 15 34 2" xfId="8565"/>
    <cellStyle name="Dane wejściowe 2 15 34 3" xfId="8566"/>
    <cellStyle name="Dane wejściowe 2 15 35" xfId="8567"/>
    <cellStyle name="Dane wejściowe 2 15 35 2" xfId="8568"/>
    <cellStyle name="Dane wejściowe 2 15 35 3" xfId="8569"/>
    <cellStyle name="Dane wejściowe 2 15 36" xfId="8570"/>
    <cellStyle name="Dane wejściowe 2 15 36 2" xfId="8571"/>
    <cellStyle name="Dane wejściowe 2 15 36 3" xfId="8572"/>
    <cellStyle name="Dane wejściowe 2 15 37" xfId="8573"/>
    <cellStyle name="Dane wejściowe 2 15 37 2" xfId="8574"/>
    <cellStyle name="Dane wejściowe 2 15 37 3" xfId="8575"/>
    <cellStyle name="Dane wejściowe 2 15 38" xfId="8576"/>
    <cellStyle name="Dane wejściowe 2 15 38 2" xfId="8577"/>
    <cellStyle name="Dane wejściowe 2 15 38 3" xfId="8578"/>
    <cellStyle name="Dane wejściowe 2 15 39" xfId="8579"/>
    <cellStyle name="Dane wejściowe 2 15 39 2" xfId="8580"/>
    <cellStyle name="Dane wejściowe 2 15 39 3" xfId="8581"/>
    <cellStyle name="Dane wejściowe 2 15 4" xfId="8582"/>
    <cellStyle name="Dane wejściowe 2 15 4 2" xfId="8583"/>
    <cellStyle name="Dane wejściowe 2 15 4 3" xfId="8584"/>
    <cellStyle name="Dane wejściowe 2 15 4 4" xfId="8585"/>
    <cellStyle name="Dane wejściowe 2 15 40" xfId="8586"/>
    <cellStyle name="Dane wejściowe 2 15 40 2" xfId="8587"/>
    <cellStyle name="Dane wejściowe 2 15 40 3" xfId="8588"/>
    <cellStyle name="Dane wejściowe 2 15 41" xfId="8589"/>
    <cellStyle name="Dane wejściowe 2 15 41 2" xfId="8590"/>
    <cellStyle name="Dane wejściowe 2 15 41 3" xfId="8591"/>
    <cellStyle name="Dane wejściowe 2 15 42" xfId="8592"/>
    <cellStyle name="Dane wejściowe 2 15 42 2" xfId="8593"/>
    <cellStyle name="Dane wejściowe 2 15 42 3" xfId="8594"/>
    <cellStyle name="Dane wejściowe 2 15 43" xfId="8595"/>
    <cellStyle name="Dane wejściowe 2 15 43 2" xfId="8596"/>
    <cellStyle name="Dane wejściowe 2 15 43 3" xfId="8597"/>
    <cellStyle name="Dane wejściowe 2 15 44" xfId="8598"/>
    <cellStyle name="Dane wejściowe 2 15 44 2" xfId="8599"/>
    <cellStyle name="Dane wejściowe 2 15 44 3" xfId="8600"/>
    <cellStyle name="Dane wejściowe 2 15 45" xfId="8601"/>
    <cellStyle name="Dane wejściowe 2 15 45 2" xfId="8602"/>
    <cellStyle name="Dane wejściowe 2 15 45 3" xfId="8603"/>
    <cellStyle name="Dane wejściowe 2 15 46" xfId="8604"/>
    <cellStyle name="Dane wejściowe 2 15 46 2" xfId="8605"/>
    <cellStyle name="Dane wejściowe 2 15 46 3" xfId="8606"/>
    <cellStyle name="Dane wejściowe 2 15 47" xfId="8607"/>
    <cellStyle name="Dane wejściowe 2 15 47 2" xfId="8608"/>
    <cellStyle name="Dane wejściowe 2 15 47 3" xfId="8609"/>
    <cellStyle name="Dane wejściowe 2 15 48" xfId="8610"/>
    <cellStyle name="Dane wejściowe 2 15 48 2" xfId="8611"/>
    <cellStyle name="Dane wejściowe 2 15 48 3" xfId="8612"/>
    <cellStyle name="Dane wejściowe 2 15 49" xfId="8613"/>
    <cellStyle name="Dane wejściowe 2 15 49 2" xfId="8614"/>
    <cellStyle name="Dane wejściowe 2 15 49 3" xfId="8615"/>
    <cellStyle name="Dane wejściowe 2 15 5" xfId="8616"/>
    <cellStyle name="Dane wejściowe 2 15 5 2" xfId="8617"/>
    <cellStyle name="Dane wejściowe 2 15 5 3" xfId="8618"/>
    <cellStyle name="Dane wejściowe 2 15 5 4" xfId="8619"/>
    <cellStyle name="Dane wejściowe 2 15 50" xfId="8620"/>
    <cellStyle name="Dane wejściowe 2 15 50 2" xfId="8621"/>
    <cellStyle name="Dane wejściowe 2 15 50 3" xfId="8622"/>
    <cellStyle name="Dane wejściowe 2 15 51" xfId="8623"/>
    <cellStyle name="Dane wejściowe 2 15 51 2" xfId="8624"/>
    <cellStyle name="Dane wejściowe 2 15 51 3" xfId="8625"/>
    <cellStyle name="Dane wejściowe 2 15 52" xfId="8626"/>
    <cellStyle name="Dane wejściowe 2 15 52 2" xfId="8627"/>
    <cellStyle name="Dane wejściowe 2 15 52 3" xfId="8628"/>
    <cellStyle name="Dane wejściowe 2 15 53" xfId="8629"/>
    <cellStyle name="Dane wejściowe 2 15 53 2" xfId="8630"/>
    <cellStyle name="Dane wejściowe 2 15 53 3" xfId="8631"/>
    <cellStyle name="Dane wejściowe 2 15 54" xfId="8632"/>
    <cellStyle name="Dane wejściowe 2 15 54 2" xfId="8633"/>
    <cellStyle name="Dane wejściowe 2 15 54 3" xfId="8634"/>
    <cellStyle name="Dane wejściowe 2 15 55" xfId="8635"/>
    <cellStyle name="Dane wejściowe 2 15 55 2" xfId="8636"/>
    <cellStyle name="Dane wejściowe 2 15 55 3" xfId="8637"/>
    <cellStyle name="Dane wejściowe 2 15 56" xfId="8638"/>
    <cellStyle name="Dane wejściowe 2 15 56 2" xfId="8639"/>
    <cellStyle name="Dane wejściowe 2 15 56 3" xfId="8640"/>
    <cellStyle name="Dane wejściowe 2 15 57" xfId="8641"/>
    <cellStyle name="Dane wejściowe 2 15 58" xfId="8642"/>
    <cellStyle name="Dane wejściowe 2 15 6" xfId="8643"/>
    <cellStyle name="Dane wejściowe 2 15 6 2" xfId="8644"/>
    <cellStyle name="Dane wejściowe 2 15 6 3" xfId="8645"/>
    <cellStyle name="Dane wejściowe 2 15 6 4" xfId="8646"/>
    <cellStyle name="Dane wejściowe 2 15 7" xfId="8647"/>
    <cellStyle name="Dane wejściowe 2 15 7 2" xfId="8648"/>
    <cellStyle name="Dane wejściowe 2 15 7 3" xfId="8649"/>
    <cellStyle name="Dane wejściowe 2 15 7 4" xfId="8650"/>
    <cellStyle name="Dane wejściowe 2 15 8" xfId="8651"/>
    <cellStyle name="Dane wejściowe 2 15 8 2" xfId="8652"/>
    <cellStyle name="Dane wejściowe 2 15 8 3" xfId="8653"/>
    <cellStyle name="Dane wejściowe 2 15 8 4" xfId="8654"/>
    <cellStyle name="Dane wejściowe 2 15 9" xfId="8655"/>
    <cellStyle name="Dane wejściowe 2 15 9 2" xfId="8656"/>
    <cellStyle name="Dane wejściowe 2 15 9 3" xfId="8657"/>
    <cellStyle name="Dane wejściowe 2 15 9 4" xfId="8658"/>
    <cellStyle name="Dane wejściowe 2 16" xfId="8659"/>
    <cellStyle name="Dane wejściowe 2 16 10" xfId="8660"/>
    <cellStyle name="Dane wejściowe 2 16 10 2" xfId="8661"/>
    <cellStyle name="Dane wejściowe 2 16 10 3" xfId="8662"/>
    <cellStyle name="Dane wejściowe 2 16 10 4" xfId="8663"/>
    <cellStyle name="Dane wejściowe 2 16 11" xfId="8664"/>
    <cellStyle name="Dane wejściowe 2 16 11 2" xfId="8665"/>
    <cellStyle name="Dane wejściowe 2 16 11 3" xfId="8666"/>
    <cellStyle name="Dane wejściowe 2 16 11 4" xfId="8667"/>
    <cellStyle name="Dane wejściowe 2 16 12" xfId="8668"/>
    <cellStyle name="Dane wejściowe 2 16 12 2" xfId="8669"/>
    <cellStyle name="Dane wejściowe 2 16 12 3" xfId="8670"/>
    <cellStyle name="Dane wejściowe 2 16 12 4" xfId="8671"/>
    <cellStyle name="Dane wejściowe 2 16 13" xfId="8672"/>
    <cellStyle name="Dane wejściowe 2 16 13 2" xfId="8673"/>
    <cellStyle name="Dane wejściowe 2 16 13 3" xfId="8674"/>
    <cellStyle name="Dane wejściowe 2 16 13 4" xfId="8675"/>
    <cellStyle name="Dane wejściowe 2 16 14" xfId="8676"/>
    <cellStyle name="Dane wejściowe 2 16 14 2" xfId="8677"/>
    <cellStyle name="Dane wejściowe 2 16 14 3" xfId="8678"/>
    <cellStyle name="Dane wejściowe 2 16 14 4" xfId="8679"/>
    <cellStyle name="Dane wejściowe 2 16 15" xfId="8680"/>
    <cellStyle name="Dane wejściowe 2 16 15 2" xfId="8681"/>
    <cellStyle name="Dane wejściowe 2 16 15 3" xfId="8682"/>
    <cellStyle name="Dane wejściowe 2 16 15 4" xfId="8683"/>
    <cellStyle name="Dane wejściowe 2 16 16" xfId="8684"/>
    <cellStyle name="Dane wejściowe 2 16 16 2" xfId="8685"/>
    <cellStyle name="Dane wejściowe 2 16 16 3" xfId="8686"/>
    <cellStyle name="Dane wejściowe 2 16 16 4" xfId="8687"/>
    <cellStyle name="Dane wejściowe 2 16 17" xfId="8688"/>
    <cellStyle name="Dane wejściowe 2 16 17 2" xfId="8689"/>
    <cellStyle name="Dane wejściowe 2 16 17 3" xfId="8690"/>
    <cellStyle name="Dane wejściowe 2 16 17 4" xfId="8691"/>
    <cellStyle name="Dane wejściowe 2 16 18" xfId="8692"/>
    <cellStyle name="Dane wejściowe 2 16 18 2" xfId="8693"/>
    <cellStyle name="Dane wejściowe 2 16 18 3" xfId="8694"/>
    <cellStyle name="Dane wejściowe 2 16 18 4" xfId="8695"/>
    <cellStyle name="Dane wejściowe 2 16 19" xfId="8696"/>
    <cellStyle name="Dane wejściowe 2 16 19 2" xfId="8697"/>
    <cellStyle name="Dane wejściowe 2 16 19 3" xfId="8698"/>
    <cellStyle name="Dane wejściowe 2 16 19 4" xfId="8699"/>
    <cellStyle name="Dane wejściowe 2 16 2" xfId="8700"/>
    <cellStyle name="Dane wejściowe 2 16 2 2" xfId="8701"/>
    <cellStyle name="Dane wejściowe 2 16 2 3" xfId="8702"/>
    <cellStyle name="Dane wejściowe 2 16 2 4" xfId="8703"/>
    <cellStyle name="Dane wejściowe 2 16 20" xfId="8704"/>
    <cellStyle name="Dane wejściowe 2 16 20 2" xfId="8705"/>
    <cellStyle name="Dane wejściowe 2 16 20 3" xfId="8706"/>
    <cellStyle name="Dane wejściowe 2 16 20 4" xfId="8707"/>
    <cellStyle name="Dane wejściowe 2 16 21" xfId="8708"/>
    <cellStyle name="Dane wejściowe 2 16 21 2" xfId="8709"/>
    <cellStyle name="Dane wejściowe 2 16 21 3" xfId="8710"/>
    <cellStyle name="Dane wejściowe 2 16 22" xfId="8711"/>
    <cellStyle name="Dane wejściowe 2 16 22 2" xfId="8712"/>
    <cellStyle name="Dane wejściowe 2 16 22 3" xfId="8713"/>
    <cellStyle name="Dane wejściowe 2 16 23" xfId="8714"/>
    <cellStyle name="Dane wejściowe 2 16 23 2" xfId="8715"/>
    <cellStyle name="Dane wejściowe 2 16 23 3" xfId="8716"/>
    <cellStyle name="Dane wejściowe 2 16 24" xfId="8717"/>
    <cellStyle name="Dane wejściowe 2 16 24 2" xfId="8718"/>
    <cellStyle name="Dane wejściowe 2 16 24 3" xfId="8719"/>
    <cellStyle name="Dane wejściowe 2 16 25" xfId="8720"/>
    <cellStyle name="Dane wejściowe 2 16 25 2" xfId="8721"/>
    <cellStyle name="Dane wejściowe 2 16 25 3" xfId="8722"/>
    <cellStyle name="Dane wejściowe 2 16 26" xfId="8723"/>
    <cellStyle name="Dane wejściowe 2 16 26 2" xfId="8724"/>
    <cellStyle name="Dane wejściowe 2 16 26 3" xfId="8725"/>
    <cellStyle name="Dane wejściowe 2 16 27" xfId="8726"/>
    <cellStyle name="Dane wejściowe 2 16 27 2" xfId="8727"/>
    <cellStyle name="Dane wejściowe 2 16 27 3" xfId="8728"/>
    <cellStyle name="Dane wejściowe 2 16 28" xfId="8729"/>
    <cellStyle name="Dane wejściowe 2 16 28 2" xfId="8730"/>
    <cellStyle name="Dane wejściowe 2 16 28 3" xfId="8731"/>
    <cellStyle name="Dane wejściowe 2 16 29" xfId="8732"/>
    <cellStyle name="Dane wejściowe 2 16 29 2" xfId="8733"/>
    <cellStyle name="Dane wejściowe 2 16 29 3" xfId="8734"/>
    <cellStyle name="Dane wejściowe 2 16 3" xfId="8735"/>
    <cellStyle name="Dane wejściowe 2 16 3 2" xfId="8736"/>
    <cellStyle name="Dane wejściowe 2 16 3 3" xfId="8737"/>
    <cellStyle name="Dane wejściowe 2 16 3 4" xfId="8738"/>
    <cellStyle name="Dane wejściowe 2 16 30" xfId="8739"/>
    <cellStyle name="Dane wejściowe 2 16 30 2" xfId="8740"/>
    <cellStyle name="Dane wejściowe 2 16 30 3" xfId="8741"/>
    <cellStyle name="Dane wejściowe 2 16 31" xfId="8742"/>
    <cellStyle name="Dane wejściowe 2 16 31 2" xfId="8743"/>
    <cellStyle name="Dane wejściowe 2 16 31 3" xfId="8744"/>
    <cellStyle name="Dane wejściowe 2 16 32" xfId="8745"/>
    <cellStyle name="Dane wejściowe 2 16 32 2" xfId="8746"/>
    <cellStyle name="Dane wejściowe 2 16 32 3" xfId="8747"/>
    <cellStyle name="Dane wejściowe 2 16 33" xfId="8748"/>
    <cellStyle name="Dane wejściowe 2 16 33 2" xfId="8749"/>
    <cellStyle name="Dane wejściowe 2 16 33 3" xfId="8750"/>
    <cellStyle name="Dane wejściowe 2 16 34" xfId="8751"/>
    <cellStyle name="Dane wejściowe 2 16 34 2" xfId="8752"/>
    <cellStyle name="Dane wejściowe 2 16 34 3" xfId="8753"/>
    <cellStyle name="Dane wejściowe 2 16 35" xfId="8754"/>
    <cellStyle name="Dane wejściowe 2 16 35 2" xfId="8755"/>
    <cellStyle name="Dane wejściowe 2 16 35 3" xfId="8756"/>
    <cellStyle name="Dane wejściowe 2 16 36" xfId="8757"/>
    <cellStyle name="Dane wejściowe 2 16 36 2" xfId="8758"/>
    <cellStyle name="Dane wejściowe 2 16 36 3" xfId="8759"/>
    <cellStyle name="Dane wejściowe 2 16 37" xfId="8760"/>
    <cellStyle name="Dane wejściowe 2 16 37 2" xfId="8761"/>
    <cellStyle name="Dane wejściowe 2 16 37 3" xfId="8762"/>
    <cellStyle name="Dane wejściowe 2 16 38" xfId="8763"/>
    <cellStyle name="Dane wejściowe 2 16 38 2" xfId="8764"/>
    <cellStyle name="Dane wejściowe 2 16 38 3" xfId="8765"/>
    <cellStyle name="Dane wejściowe 2 16 39" xfId="8766"/>
    <cellStyle name="Dane wejściowe 2 16 39 2" xfId="8767"/>
    <cellStyle name="Dane wejściowe 2 16 39 3" xfId="8768"/>
    <cellStyle name="Dane wejściowe 2 16 4" xfId="8769"/>
    <cellStyle name="Dane wejściowe 2 16 4 2" xfId="8770"/>
    <cellStyle name="Dane wejściowe 2 16 4 3" xfId="8771"/>
    <cellStyle name="Dane wejściowe 2 16 4 4" xfId="8772"/>
    <cellStyle name="Dane wejściowe 2 16 40" xfId="8773"/>
    <cellStyle name="Dane wejściowe 2 16 40 2" xfId="8774"/>
    <cellStyle name="Dane wejściowe 2 16 40 3" xfId="8775"/>
    <cellStyle name="Dane wejściowe 2 16 41" xfId="8776"/>
    <cellStyle name="Dane wejściowe 2 16 41 2" xfId="8777"/>
    <cellStyle name="Dane wejściowe 2 16 41 3" xfId="8778"/>
    <cellStyle name="Dane wejściowe 2 16 42" xfId="8779"/>
    <cellStyle name="Dane wejściowe 2 16 42 2" xfId="8780"/>
    <cellStyle name="Dane wejściowe 2 16 42 3" xfId="8781"/>
    <cellStyle name="Dane wejściowe 2 16 43" xfId="8782"/>
    <cellStyle name="Dane wejściowe 2 16 43 2" xfId="8783"/>
    <cellStyle name="Dane wejściowe 2 16 43 3" xfId="8784"/>
    <cellStyle name="Dane wejściowe 2 16 44" xfId="8785"/>
    <cellStyle name="Dane wejściowe 2 16 44 2" xfId="8786"/>
    <cellStyle name="Dane wejściowe 2 16 44 3" xfId="8787"/>
    <cellStyle name="Dane wejściowe 2 16 45" xfId="8788"/>
    <cellStyle name="Dane wejściowe 2 16 45 2" xfId="8789"/>
    <cellStyle name="Dane wejściowe 2 16 45 3" xfId="8790"/>
    <cellStyle name="Dane wejściowe 2 16 46" xfId="8791"/>
    <cellStyle name="Dane wejściowe 2 16 46 2" xfId="8792"/>
    <cellStyle name="Dane wejściowe 2 16 46 3" xfId="8793"/>
    <cellStyle name="Dane wejściowe 2 16 47" xfId="8794"/>
    <cellStyle name="Dane wejściowe 2 16 47 2" xfId="8795"/>
    <cellStyle name="Dane wejściowe 2 16 47 3" xfId="8796"/>
    <cellStyle name="Dane wejściowe 2 16 48" xfId="8797"/>
    <cellStyle name="Dane wejściowe 2 16 48 2" xfId="8798"/>
    <cellStyle name="Dane wejściowe 2 16 48 3" xfId="8799"/>
    <cellStyle name="Dane wejściowe 2 16 49" xfId="8800"/>
    <cellStyle name="Dane wejściowe 2 16 49 2" xfId="8801"/>
    <cellStyle name="Dane wejściowe 2 16 49 3" xfId="8802"/>
    <cellStyle name="Dane wejściowe 2 16 5" xfId="8803"/>
    <cellStyle name="Dane wejściowe 2 16 5 2" xfId="8804"/>
    <cellStyle name="Dane wejściowe 2 16 5 3" xfId="8805"/>
    <cellStyle name="Dane wejściowe 2 16 5 4" xfId="8806"/>
    <cellStyle name="Dane wejściowe 2 16 50" xfId="8807"/>
    <cellStyle name="Dane wejściowe 2 16 50 2" xfId="8808"/>
    <cellStyle name="Dane wejściowe 2 16 50 3" xfId="8809"/>
    <cellStyle name="Dane wejściowe 2 16 51" xfId="8810"/>
    <cellStyle name="Dane wejściowe 2 16 51 2" xfId="8811"/>
    <cellStyle name="Dane wejściowe 2 16 51 3" xfId="8812"/>
    <cellStyle name="Dane wejściowe 2 16 52" xfId="8813"/>
    <cellStyle name="Dane wejściowe 2 16 52 2" xfId="8814"/>
    <cellStyle name="Dane wejściowe 2 16 52 3" xfId="8815"/>
    <cellStyle name="Dane wejściowe 2 16 53" xfId="8816"/>
    <cellStyle name="Dane wejściowe 2 16 53 2" xfId="8817"/>
    <cellStyle name="Dane wejściowe 2 16 53 3" xfId="8818"/>
    <cellStyle name="Dane wejściowe 2 16 54" xfId="8819"/>
    <cellStyle name="Dane wejściowe 2 16 54 2" xfId="8820"/>
    <cellStyle name="Dane wejściowe 2 16 54 3" xfId="8821"/>
    <cellStyle name="Dane wejściowe 2 16 55" xfId="8822"/>
    <cellStyle name="Dane wejściowe 2 16 55 2" xfId="8823"/>
    <cellStyle name="Dane wejściowe 2 16 55 3" xfId="8824"/>
    <cellStyle name="Dane wejściowe 2 16 56" xfId="8825"/>
    <cellStyle name="Dane wejściowe 2 16 56 2" xfId="8826"/>
    <cellStyle name="Dane wejściowe 2 16 56 3" xfId="8827"/>
    <cellStyle name="Dane wejściowe 2 16 57" xfId="8828"/>
    <cellStyle name="Dane wejściowe 2 16 58" xfId="8829"/>
    <cellStyle name="Dane wejściowe 2 16 6" xfId="8830"/>
    <cellStyle name="Dane wejściowe 2 16 6 2" xfId="8831"/>
    <cellStyle name="Dane wejściowe 2 16 6 3" xfId="8832"/>
    <cellStyle name="Dane wejściowe 2 16 6 4" xfId="8833"/>
    <cellStyle name="Dane wejściowe 2 16 7" xfId="8834"/>
    <cellStyle name="Dane wejściowe 2 16 7 2" xfId="8835"/>
    <cellStyle name="Dane wejściowe 2 16 7 3" xfId="8836"/>
    <cellStyle name="Dane wejściowe 2 16 7 4" xfId="8837"/>
    <cellStyle name="Dane wejściowe 2 16 8" xfId="8838"/>
    <cellStyle name="Dane wejściowe 2 16 8 2" xfId="8839"/>
    <cellStyle name="Dane wejściowe 2 16 8 3" xfId="8840"/>
    <cellStyle name="Dane wejściowe 2 16 8 4" xfId="8841"/>
    <cellStyle name="Dane wejściowe 2 16 9" xfId="8842"/>
    <cellStyle name="Dane wejściowe 2 16 9 2" xfId="8843"/>
    <cellStyle name="Dane wejściowe 2 16 9 3" xfId="8844"/>
    <cellStyle name="Dane wejściowe 2 16 9 4" xfId="8845"/>
    <cellStyle name="Dane wejściowe 2 17" xfId="8846"/>
    <cellStyle name="Dane wejściowe 2 17 10" xfId="8847"/>
    <cellStyle name="Dane wejściowe 2 17 10 2" xfId="8848"/>
    <cellStyle name="Dane wejściowe 2 17 10 3" xfId="8849"/>
    <cellStyle name="Dane wejściowe 2 17 10 4" xfId="8850"/>
    <cellStyle name="Dane wejściowe 2 17 11" xfId="8851"/>
    <cellStyle name="Dane wejściowe 2 17 11 2" xfId="8852"/>
    <cellStyle name="Dane wejściowe 2 17 11 3" xfId="8853"/>
    <cellStyle name="Dane wejściowe 2 17 11 4" xfId="8854"/>
    <cellStyle name="Dane wejściowe 2 17 12" xfId="8855"/>
    <cellStyle name="Dane wejściowe 2 17 12 2" xfId="8856"/>
    <cellStyle name="Dane wejściowe 2 17 12 3" xfId="8857"/>
    <cellStyle name="Dane wejściowe 2 17 12 4" xfId="8858"/>
    <cellStyle name="Dane wejściowe 2 17 13" xfId="8859"/>
    <cellStyle name="Dane wejściowe 2 17 13 2" xfId="8860"/>
    <cellStyle name="Dane wejściowe 2 17 13 3" xfId="8861"/>
    <cellStyle name="Dane wejściowe 2 17 13 4" xfId="8862"/>
    <cellStyle name="Dane wejściowe 2 17 14" xfId="8863"/>
    <cellStyle name="Dane wejściowe 2 17 14 2" xfId="8864"/>
    <cellStyle name="Dane wejściowe 2 17 14 3" xfId="8865"/>
    <cellStyle name="Dane wejściowe 2 17 14 4" xfId="8866"/>
    <cellStyle name="Dane wejściowe 2 17 15" xfId="8867"/>
    <cellStyle name="Dane wejściowe 2 17 15 2" xfId="8868"/>
    <cellStyle name="Dane wejściowe 2 17 15 3" xfId="8869"/>
    <cellStyle name="Dane wejściowe 2 17 15 4" xfId="8870"/>
    <cellStyle name="Dane wejściowe 2 17 16" xfId="8871"/>
    <cellStyle name="Dane wejściowe 2 17 16 2" xfId="8872"/>
    <cellStyle name="Dane wejściowe 2 17 16 3" xfId="8873"/>
    <cellStyle name="Dane wejściowe 2 17 16 4" xfId="8874"/>
    <cellStyle name="Dane wejściowe 2 17 17" xfId="8875"/>
    <cellStyle name="Dane wejściowe 2 17 17 2" xfId="8876"/>
    <cellStyle name="Dane wejściowe 2 17 17 3" xfId="8877"/>
    <cellStyle name="Dane wejściowe 2 17 17 4" xfId="8878"/>
    <cellStyle name="Dane wejściowe 2 17 18" xfId="8879"/>
    <cellStyle name="Dane wejściowe 2 17 18 2" xfId="8880"/>
    <cellStyle name="Dane wejściowe 2 17 18 3" xfId="8881"/>
    <cellStyle name="Dane wejściowe 2 17 18 4" xfId="8882"/>
    <cellStyle name="Dane wejściowe 2 17 19" xfId="8883"/>
    <cellStyle name="Dane wejściowe 2 17 19 2" xfId="8884"/>
    <cellStyle name="Dane wejściowe 2 17 19 3" xfId="8885"/>
    <cellStyle name="Dane wejściowe 2 17 19 4" xfId="8886"/>
    <cellStyle name="Dane wejściowe 2 17 2" xfId="8887"/>
    <cellStyle name="Dane wejściowe 2 17 2 2" xfId="8888"/>
    <cellStyle name="Dane wejściowe 2 17 2 3" xfId="8889"/>
    <cellStyle name="Dane wejściowe 2 17 2 4" xfId="8890"/>
    <cellStyle name="Dane wejściowe 2 17 20" xfId="8891"/>
    <cellStyle name="Dane wejściowe 2 17 20 2" xfId="8892"/>
    <cellStyle name="Dane wejściowe 2 17 20 3" xfId="8893"/>
    <cellStyle name="Dane wejściowe 2 17 20 4" xfId="8894"/>
    <cellStyle name="Dane wejściowe 2 17 21" xfId="8895"/>
    <cellStyle name="Dane wejściowe 2 17 21 2" xfId="8896"/>
    <cellStyle name="Dane wejściowe 2 17 21 3" xfId="8897"/>
    <cellStyle name="Dane wejściowe 2 17 22" xfId="8898"/>
    <cellStyle name="Dane wejściowe 2 17 22 2" xfId="8899"/>
    <cellStyle name="Dane wejściowe 2 17 22 3" xfId="8900"/>
    <cellStyle name="Dane wejściowe 2 17 23" xfId="8901"/>
    <cellStyle name="Dane wejściowe 2 17 23 2" xfId="8902"/>
    <cellStyle name="Dane wejściowe 2 17 23 3" xfId="8903"/>
    <cellStyle name="Dane wejściowe 2 17 24" xfId="8904"/>
    <cellStyle name="Dane wejściowe 2 17 24 2" xfId="8905"/>
    <cellStyle name="Dane wejściowe 2 17 24 3" xfId="8906"/>
    <cellStyle name="Dane wejściowe 2 17 25" xfId="8907"/>
    <cellStyle name="Dane wejściowe 2 17 25 2" xfId="8908"/>
    <cellStyle name="Dane wejściowe 2 17 25 3" xfId="8909"/>
    <cellStyle name="Dane wejściowe 2 17 26" xfId="8910"/>
    <cellStyle name="Dane wejściowe 2 17 26 2" xfId="8911"/>
    <cellStyle name="Dane wejściowe 2 17 26 3" xfId="8912"/>
    <cellStyle name="Dane wejściowe 2 17 27" xfId="8913"/>
    <cellStyle name="Dane wejściowe 2 17 27 2" xfId="8914"/>
    <cellStyle name="Dane wejściowe 2 17 27 3" xfId="8915"/>
    <cellStyle name="Dane wejściowe 2 17 28" xfId="8916"/>
    <cellStyle name="Dane wejściowe 2 17 28 2" xfId="8917"/>
    <cellStyle name="Dane wejściowe 2 17 28 3" xfId="8918"/>
    <cellStyle name="Dane wejściowe 2 17 29" xfId="8919"/>
    <cellStyle name="Dane wejściowe 2 17 29 2" xfId="8920"/>
    <cellStyle name="Dane wejściowe 2 17 29 3" xfId="8921"/>
    <cellStyle name="Dane wejściowe 2 17 3" xfId="8922"/>
    <cellStyle name="Dane wejściowe 2 17 3 2" xfId="8923"/>
    <cellStyle name="Dane wejściowe 2 17 3 3" xfId="8924"/>
    <cellStyle name="Dane wejściowe 2 17 3 4" xfId="8925"/>
    <cellStyle name="Dane wejściowe 2 17 30" xfId="8926"/>
    <cellStyle name="Dane wejściowe 2 17 30 2" xfId="8927"/>
    <cellStyle name="Dane wejściowe 2 17 30 3" xfId="8928"/>
    <cellStyle name="Dane wejściowe 2 17 31" xfId="8929"/>
    <cellStyle name="Dane wejściowe 2 17 31 2" xfId="8930"/>
    <cellStyle name="Dane wejściowe 2 17 31 3" xfId="8931"/>
    <cellStyle name="Dane wejściowe 2 17 32" xfId="8932"/>
    <cellStyle name="Dane wejściowe 2 17 32 2" xfId="8933"/>
    <cellStyle name="Dane wejściowe 2 17 32 3" xfId="8934"/>
    <cellStyle name="Dane wejściowe 2 17 33" xfId="8935"/>
    <cellStyle name="Dane wejściowe 2 17 33 2" xfId="8936"/>
    <cellStyle name="Dane wejściowe 2 17 33 3" xfId="8937"/>
    <cellStyle name="Dane wejściowe 2 17 34" xfId="8938"/>
    <cellStyle name="Dane wejściowe 2 17 34 2" xfId="8939"/>
    <cellStyle name="Dane wejściowe 2 17 34 3" xfId="8940"/>
    <cellStyle name="Dane wejściowe 2 17 35" xfId="8941"/>
    <cellStyle name="Dane wejściowe 2 17 35 2" xfId="8942"/>
    <cellStyle name="Dane wejściowe 2 17 35 3" xfId="8943"/>
    <cellStyle name="Dane wejściowe 2 17 36" xfId="8944"/>
    <cellStyle name="Dane wejściowe 2 17 36 2" xfId="8945"/>
    <cellStyle name="Dane wejściowe 2 17 36 3" xfId="8946"/>
    <cellStyle name="Dane wejściowe 2 17 37" xfId="8947"/>
    <cellStyle name="Dane wejściowe 2 17 37 2" xfId="8948"/>
    <cellStyle name="Dane wejściowe 2 17 37 3" xfId="8949"/>
    <cellStyle name="Dane wejściowe 2 17 38" xfId="8950"/>
    <cellStyle name="Dane wejściowe 2 17 38 2" xfId="8951"/>
    <cellStyle name="Dane wejściowe 2 17 38 3" xfId="8952"/>
    <cellStyle name="Dane wejściowe 2 17 39" xfId="8953"/>
    <cellStyle name="Dane wejściowe 2 17 39 2" xfId="8954"/>
    <cellStyle name="Dane wejściowe 2 17 39 3" xfId="8955"/>
    <cellStyle name="Dane wejściowe 2 17 4" xfId="8956"/>
    <cellStyle name="Dane wejściowe 2 17 4 2" xfId="8957"/>
    <cellStyle name="Dane wejściowe 2 17 4 3" xfId="8958"/>
    <cellStyle name="Dane wejściowe 2 17 4 4" xfId="8959"/>
    <cellStyle name="Dane wejściowe 2 17 40" xfId="8960"/>
    <cellStyle name="Dane wejściowe 2 17 40 2" xfId="8961"/>
    <cellStyle name="Dane wejściowe 2 17 40 3" xfId="8962"/>
    <cellStyle name="Dane wejściowe 2 17 41" xfId="8963"/>
    <cellStyle name="Dane wejściowe 2 17 41 2" xfId="8964"/>
    <cellStyle name="Dane wejściowe 2 17 41 3" xfId="8965"/>
    <cellStyle name="Dane wejściowe 2 17 42" xfId="8966"/>
    <cellStyle name="Dane wejściowe 2 17 42 2" xfId="8967"/>
    <cellStyle name="Dane wejściowe 2 17 42 3" xfId="8968"/>
    <cellStyle name="Dane wejściowe 2 17 43" xfId="8969"/>
    <cellStyle name="Dane wejściowe 2 17 43 2" xfId="8970"/>
    <cellStyle name="Dane wejściowe 2 17 43 3" xfId="8971"/>
    <cellStyle name="Dane wejściowe 2 17 44" xfId="8972"/>
    <cellStyle name="Dane wejściowe 2 17 44 2" xfId="8973"/>
    <cellStyle name="Dane wejściowe 2 17 44 3" xfId="8974"/>
    <cellStyle name="Dane wejściowe 2 17 45" xfId="8975"/>
    <cellStyle name="Dane wejściowe 2 17 45 2" xfId="8976"/>
    <cellStyle name="Dane wejściowe 2 17 45 3" xfId="8977"/>
    <cellStyle name="Dane wejściowe 2 17 46" xfId="8978"/>
    <cellStyle name="Dane wejściowe 2 17 46 2" xfId="8979"/>
    <cellStyle name="Dane wejściowe 2 17 46 3" xfId="8980"/>
    <cellStyle name="Dane wejściowe 2 17 47" xfId="8981"/>
    <cellStyle name="Dane wejściowe 2 17 47 2" xfId="8982"/>
    <cellStyle name="Dane wejściowe 2 17 47 3" xfId="8983"/>
    <cellStyle name="Dane wejściowe 2 17 48" xfId="8984"/>
    <cellStyle name="Dane wejściowe 2 17 48 2" xfId="8985"/>
    <cellStyle name="Dane wejściowe 2 17 48 3" xfId="8986"/>
    <cellStyle name="Dane wejściowe 2 17 49" xfId="8987"/>
    <cellStyle name="Dane wejściowe 2 17 49 2" xfId="8988"/>
    <cellStyle name="Dane wejściowe 2 17 49 3" xfId="8989"/>
    <cellStyle name="Dane wejściowe 2 17 5" xfId="8990"/>
    <cellStyle name="Dane wejściowe 2 17 5 2" xfId="8991"/>
    <cellStyle name="Dane wejściowe 2 17 5 3" xfId="8992"/>
    <cellStyle name="Dane wejściowe 2 17 5 4" xfId="8993"/>
    <cellStyle name="Dane wejściowe 2 17 50" xfId="8994"/>
    <cellStyle name="Dane wejściowe 2 17 50 2" xfId="8995"/>
    <cellStyle name="Dane wejściowe 2 17 50 3" xfId="8996"/>
    <cellStyle name="Dane wejściowe 2 17 51" xfId="8997"/>
    <cellStyle name="Dane wejściowe 2 17 51 2" xfId="8998"/>
    <cellStyle name="Dane wejściowe 2 17 51 3" xfId="8999"/>
    <cellStyle name="Dane wejściowe 2 17 52" xfId="9000"/>
    <cellStyle name="Dane wejściowe 2 17 52 2" xfId="9001"/>
    <cellStyle name="Dane wejściowe 2 17 52 3" xfId="9002"/>
    <cellStyle name="Dane wejściowe 2 17 53" xfId="9003"/>
    <cellStyle name="Dane wejściowe 2 17 53 2" xfId="9004"/>
    <cellStyle name="Dane wejściowe 2 17 53 3" xfId="9005"/>
    <cellStyle name="Dane wejściowe 2 17 54" xfId="9006"/>
    <cellStyle name="Dane wejściowe 2 17 54 2" xfId="9007"/>
    <cellStyle name="Dane wejściowe 2 17 54 3" xfId="9008"/>
    <cellStyle name="Dane wejściowe 2 17 55" xfId="9009"/>
    <cellStyle name="Dane wejściowe 2 17 55 2" xfId="9010"/>
    <cellStyle name="Dane wejściowe 2 17 55 3" xfId="9011"/>
    <cellStyle name="Dane wejściowe 2 17 56" xfId="9012"/>
    <cellStyle name="Dane wejściowe 2 17 56 2" xfId="9013"/>
    <cellStyle name="Dane wejściowe 2 17 56 3" xfId="9014"/>
    <cellStyle name="Dane wejściowe 2 17 57" xfId="9015"/>
    <cellStyle name="Dane wejściowe 2 17 58" xfId="9016"/>
    <cellStyle name="Dane wejściowe 2 17 6" xfId="9017"/>
    <cellStyle name="Dane wejściowe 2 17 6 2" xfId="9018"/>
    <cellStyle name="Dane wejściowe 2 17 6 3" xfId="9019"/>
    <cellStyle name="Dane wejściowe 2 17 6 4" xfId="9020"/>
    <cellStyle name="Dane wejściowe 2 17 7" xfId="9021"/>
    <cellStyle name="Dane wejściowe 2 17 7 2" xfId="9022"/>
    <cellStyle name="Dane wejściowe 2 17 7 3" xfId="9023"/>
    <cellStyle name="Dane wejściowe 2 17 7 4" xfId="9024"/>
    <cellStyle name="Dane wejściowe 2 17 8" xfId="9025"/>
    <cellStyle name="Dane wejściowe 2 17 8 2" xfId="9026"/>
    <cellStyle name="Dane wejściowe 2 17 8 3" xfId="9027"/>
    <cellStyle name="Dane wejściowe 2 17 8 4" xfId="9028"/>
    <cellStyle name="Dane wejściowe 2 17 9" xfId="9029"/>
    <cellStyle name="Dane wejściowe 2 17 9 2" xfId="9030"/>
    <cellStyle name="Dane wejściowe 2 17 9 3" xfId="9031"/>
    <cellStyle name="Dane wejściowe 2 17 9 4" xfId="9032"/>
    <cellStyle name="Dane wejściowe 2 18" xfId="9033"/>
    <cellStyle name="Dane wejściowe 2 18 10" xfId="9034"/>
    <cellStyle name="Dane wejściowe 2 18 10 2" xfId="9035"/>
    <cellStyle name="Dane wejściowe 2 18 10 3" xfId="9036"/>
    <cellStyle name="Dane wejściowe 2 18 10 4" xfId="9037"/>
    <cellStyle name="Dane wejściowe 2 18 11" xfId="9038"/>
    <cellStyle name="Dane wejściowe 2 18 11 2" xfId="9039"/>
    <cellStyle name="Dane wejściowe 2 18 11 3" xfId="9040"/>
    <cellStyle name="Dane wejściowe 2 18 11 4" xfId="9041"/>
    <cellStyle name="Dane wejściowe 2 18 12" xfId="9042"/>
    <cellStyle name="Dane wejściowe 2 18 12 2" xfId="9043"/>
    <cellStyle name="Dane wejściowe 2 18 12 3" xfId="9044"/>
    <cellStyle name="Dane wejściowe 2 18 12 4" xfId="9045"/>
    <cellStyle name="Dane wejściowe 2 18 13" xfId="9046"/>
    <cellStyle name="Dane wejściowe 2 18 13 2" xfId="9047"/>
    <cellStyle name="Dane wejściowe 2 18 13 3" xfId="9048"/>
    <cellStyle name="Dane wejściowe 2 18 13 4" xfId="9049"/>
    <cellStyle name="Dane wejściowe 2 18 14" xfId="9050"/>
    <cellStyle name="Dane wejściowe 2 18 14 2" xfId="9051"/>
    <cellStyle name="Dane wejściowe 2 18 14 3" xfId="9052"/>
    <cellStyle name="Dane wejściowe 2 18 14 4" xfId="9053"/>
    <cellStyle name="Dane wejściowe 2 18 15" xfId="9054"/>
    <cellStyle name="Dane wejściowe 2 18 15 2" xfId="9055"/>
    <cellStyle name="Dane wejściowe 2 18 15 3" xfId="9056"/>
    <cellStyle name="Dane wejściowe 2 18 15 4" xfId="9057"/>
    <cellStyle name="Dane wejściowe 2 18 16" xfId="9058"/>
    <cellStyle name="Dane wejściowe 2 18 16 2" xfId="9059"/>
    <cellStyle name="Dane wejściowe 2 18 16 3" xfId="9060"/>
    <cellStyle name="Dane wejściowe 2 18 16 4" xfId="9061"/>
    <cellStyle name="Dane wejściowe 2 18 17" xfId="9062"/>
    <cellStyle name="Dane wejściowe 2 18 17 2" xfId="9063"/>
    <cellStyle name="Dane wejściowe 2 18 17 3" xfId="9064"/>
    <cellStyle name="Dane wejściowe 2 18 17 4" xfId="9065"/>
    <cellStyle name="Dane wejściowe 2 18 18" xfId="9066"/>
    <cellStyle name="Dane wejściowe 2 18 18 2" xfId="9067"/>
    <cellStyle name="Dane wejściowe 2 18 18 3" xfId="9068"/>
    <cellStyle name="Dane wejściowe 2 18 18 4" xfId="9069"/>
    <cellStyle name="Dane wejściowe 2 18 19" xfId="9070"/>
    <cellStyle name="Dane wejściowe 2 18 19 2" xfId="9071"/>
    <cellStyle name="Dane wejściowe 2 18 19 3" xfId="9072"/>
    <cellStyle name="Dane wejściowe 2 18 19 4" xfId="9073"/>
    <cellStyle name="Dane wejściowe 2 18 2" xfId="9074"/>
    <cellStyle name="Dane wejściowe 2 18 2 2" xfId="9075"/>
    <cellStyle name="Dane wejściowe 2 18 2 3" xfId="9076"/>
    <cellStyle name="Dane wejściowe 2 18 2 4" xfId="9077"/>
    <cellStyle name="Dane wejściowe 2 18 20" xfId="9078"/>
    <cellStyle name="Dane wejściowe 2 18 20 2" xfId="9079"/>
    <cellStyle name="Dane wejściowe 2 18 20 3" xfId="9080"/>
    <cellStyle name="Dane wejściowe 2 18 20 4" xfId="9081"/>
    <cellStyle name="Dane wejściowe 2 18 21" xfId="9082"/>
    <cellStyle name="Dane wejściowe 2 18 21 2" xfId="9083"/>
    <cellStyle name="Dane wejściowe 2 18 21 3" xfId="9084"/>
    <cellStyle name="Dane wejściowe 2 18 22" xfId="9085"/>
    <cellStyle name="Dane wejściowe 2 18 22 2" xfId="9086"/>
    <cellStyle name="Dane wejściowe 2 18 22 3" xfId="9087"/>
    <cellStyle name="Dane wejściowe 2 18 23" xfId="9088"/>
    <cellStyle name="Dane wejściowe 2 18 23 2" xfId="9089"/>
    <cellStyle name="Dane wejściowe 2 18 23 3" xfId="9090"/>
    <cellStyle name="Dane wejściowe 2 18 24" xfId="9091"/>
    <cellStyle name="Dane wejściowe 2 18 24 2" xfId="9092"/>
    <cellStyle name="Dane wejściowe 2 18 24 3" xfId="9093"/>
    <cellStyle name="Dane wejściowe 2 18 25" xfId="9094"/>
    <cellStyle name="Dane wejściowe 2 18 25 2" xfId="9095"/>
    <cellStyle name="Dane wejściowe 2 18 25 3" xfId="9096"/>
    <cellStyle name="Dane wejściowe 2 18 26" xfId="9097"/>
    <cellStyle name="Dane wejściowe 2 18 26 2" xfId="9098"/>
    <cellStyle name="Dane wejściowe 2 18 26 3" xfId="9099"/>
    <cellStyle name="Dane wejściowe 2 18 27" xfId="9100"/>
    <cellStyle name="Dane wejściowe 2 18 27 2" xfId="9101"/>
    <cellStyle name="Dane wejściowe 2 18 27 3" xfId="9102"/>
    <cellStyle name="Dane wejściowe 2 18 28" xfId="9103"/>
    <cellStyle name="Dane wejściowe 2 18 28 2" xfId="9104"/>
    <cellStyle name="Dane wejściowe 2 18 28 3" xfId="9105"/>
    <cellStyle name="Dane wejściowe 2 18 29" xfId="9106"/>
    <cellStyle name="Dane wejściowe 2 18 29 2" xfId="9107"/>
    <cellStyle name="Dane wejściowe 2 18 29 3" xfId="9108"/>
    <cellStyle name="Dane wejściowe 2 18 3" xfId="9109"/>
    <cellStyle name="Dane wejściowe 2 18 3 2" xfId="9110"/>
    <cellStyle name="Dane wejściowe 2 18 3 3" xfId="9111"/>
    <cellStyle name="Dane wejściowe 2 18 3 4" xfId="9112"/>
    <cellStyle name="Dane wejściowe 2 18 30" xfId="9113"/>
    <cellStyle name="Dane wejściowe 2 18 30 2" xfId="9114"/>
    <cellStyle name="Dane wejściowe 2 18 30 3" xfId="9115"/>
    <cellStyle name="Dane wejściowe 2 18 31" xfId="9116"/>
    <cellStyle name="Dane wejściowe 2 18 31 2" xfId="9117"/>
    <cellStyle name="Dane wejściowe 2 18 31 3" xfId="9118"/>
    <cellStyle name="Dane wejściowe 2 18 32" xfId="9119"/>
    <cellStyle name="Dane wejściowe 2 18 32 2" xfId="9120"/>
    <cellStyle name="Dane wejściowe 2 18 32 3" xfId="9121"/>
    <cellStyle name="Dane wejściowe 2 18 33" xfId="9122"/>
    <cellStyle name="Dane wejściowe 2 18 33 2" xfId="9123"/>
    <cellStyle name="Dane wejściowe 2 18 33 3" xfId="9124"/>
    <cellStyle name="Dane wejściowe 2 18 34" xfId="9125"/>
    <cellStyle name="Dane wejściowe 2 18 34 2" xfId="9126"/>
    <cellStyle name="Dane wejściowe 2 18 34 3" xfId="9127"/>
    <cellStyle name="Dane wejściowe 2 18 35" xfId="9128"/>
    <cellStyle name="Dane wejściowe 2 18 35 2" xfId="9129"/>
    <cellStyle name="Dane wejściowe 2 18 35 3" xfId="9130"/>
    <cellStyle name="Dane wejściowe 2 18 36" xfId="9131"/>
    <cellStyle name="Dane wejściowe 2 18 36 2" xfId="9132"/>
    <cellStyle name="Dane wejściowe 2 18 36 3" xfId="9133"/>
    <cellStyle name="Dane wejściowe 2 18 37" xfId="9134"/>
    <cellStyle name="Dane wejściowe 2 18 37 2" xfId="9135"/>
    <cellStyle name="Dane wejściowe 2 18 37 3" xfId="9136"/>
    <cellStyle name="Dane wejściowe 2 18 38" xfId="9137"/>
    <cellStyle name="Dane wejściowe 2 18 38 2" xfId="9138"/>
    <cellStyle name="Dane wejściowe 2 18 38 3" xfId="9139"/>
    <cellStyle name="Dane wejściowe 2 18 39" xfId="9140"/>
    <cellStyle name="Dane wejściowe 2 18 39 2" xfId="9141"/>
    <cellStyle name="Dane wejściowe 2 18 39 3" xfId="9142"/>
    <cellStyle name="Dane wejściowe 2 18 4" xfId="9143"/>
    <cellStyle name="Dane wejściowe 2 18 4 2" xfId="9144"/>
    <cellStyle name="Dane wejściowe 2 18 4 3" xfId="9145"/>
    <cellStyle name="Dane wejściowe 2 18 4 4" xfId="9146"/>
    <cellStyle name="Dane wejściowe 2 18 40" xfId="9147"/>
    <cellStyle name="Dane wejściowe 2 18 40 2" xfId="9148"/>
    <cellStyle name="Dane wejściowe 2 18 40 3" xfId="9149"/>
    <cellStyle name="Dane wejściowe 2 18 41" xfId="9150"/>
    <cellStyle name="Dane wejściowe 2 18 41 2" xfId="9151"/>
    <cellStyle name="Dane wejściowe 2 18 41 3" xfId="9152"/>
    <cellStyle name="Dane wejściowe 2 18 42" xfId="9153"/>
    <cellStyle name="Dane wejściowe 2 18 42 2" xfId="9154"/>
    <cellStyle name="Dane wejściowe 2 18 42 3" xfId="9155"/>
    <cellStyle name="Dane wejściowe 2 18 43" xfId="9156"/>
    <cellStyle name="Dane wejściowe 2 18 43 2" xfId="9157"/>
    <cellStyle name="Dane wejściowe 2 18 43 3" xfId="9158"/>
    <cellStyle name="Dane wejściowe 2 18 44" xfId="9159"/>
    <cellStyle name="Dane wejściowe 2 18 44 2" xfId="9160"/>
    <cellStyle name="Dane wejściowe 2 18 44 3" xfId="9161"/>
    <cellStyle name="Dane wejściowe 2 18 45" xfId="9162"/>
    <cellStyle name="Dane wejściowe 2 18 45 2" xfId="9163"/>
    <cellStyle name="Dane wejściowe 2 18 45 3" xfId="9164"/>
    <cellStyle name="Dane wejściowe 2 18 46" xfId="9165"/>
    <cellStyle name="Dane wejściowe 2 18 46 2" xfId="9166"/>
    <cellStyle name="Dane wejściowe 2 18 46 3" xfId="9167"/>
    <cellStyle name="Dane wejściowe 2 18 47" xfId="9168"/>
    <cellStyle name="Dane wejściowe 2 18 47 2" xfId="9169"/>
    <cellStyle name="Dane wejściowe 2 18 47 3" xfId="9170"/>
    <cellStyle name="Dane wejściowe 2 18 48" xfId="9171"/>
    <cellStyle name="Dane wejściowe 2 18 48 2" xfId="9172"/>
    <cellStyle name="Dane wejściowe 2 18 48 3" xfId="9173"/>
    <cellStyle name="Dane wejściowe 2 18 49" xfId="9174"/>
    <cellStyle name="Dane wejściowe 2 18 49 2" xfId="9175"/>
    <cellStyle name="Dane wejściowe 2 18 49 3" xfId="9176"/>
    <cellStyle name="Dane wejściowe 2 18 5" xfId="9177"/>
    <cellStyle name="Dane wejściowe 2 18 5 2" xfId="9178"/>
    <cellStyle name="Dane wejściowe 2 18 5 3" xfId="9179"/>
    <cellStyle name="Dane wejściowe 2 18 5 4" xfId="9180"/>
    <cellStyle name="Dane wejściowe 2 18 50" xfId="9181"/>
    <cellStyle name="Dane wejściowe 2 18 50 2" xfId="9182"/>
    <cellStyle name="Dane wejściowe 2 18 50 3" xfId="9183"/>
    <cellStyle name="Dane wejściowe 2 18 51" xfId="9184"/>
    <cellStyle name="Dane wejściowe 2 18 51 2" xfId="9185"/>
    <cellStyle name="Dane wejściowe 2 18 51 3" xfId="9186"/>
    <cellStyle name="Dane wejściowe 2 18 52" xfId="9187"/>
    <cellStyle name="Dane wejściowe 2 18 52 2" xfId="9188"/>
    <cellStyle name="Dane wejściowe 2 18 52 3" xfId="9189"/>
    <cellStyle name="Dane wejściowe 2 18 53" xfId="9190"/>
    <cellStyle name="Dane wejściowe 2 18 53 2" xfId="9191"/>
    <cellStyle name="Dane wejściowe 2 18 53 3" xfId="9192"/>
    <cellStyle name="Dane wejściowe 2 18 54" xfId="9193"/>
    <cellStyle name="Dane wejściowe 2 18 54 2" xfId="9194"/>
    <cellStyle name="Dane wejściowe 2 18 54 3" xfId="9195"/>
    <cellStyle name="Dane wejściowe 2 18 55" xfId="9196"/>
    <cellStyle name="Dane wejściowe 2 18 55 2" xfId="9197"/>
    <cellStyle name="Dane wejściowe 2 18 55 3" xfId="9198"/>
    <cellStyle name="Dane wejściowe 2 18 56" xfId="9199"/>
    <cellStyle name="Dane wejściowe 2 18 56 2" xfId="9200"/>
    <cellStyle name="Dane wejściowe 2 18 56 3" xfId="9201"/>
    <cellStyle name="Dane wejściowe 2 18 57" xfId="9202"/>
    <cellStyle name="Dane wejściowe 2 18 58" xfId="9203"/>
    <cellStyle name="Dane wejściowe 2 18 6" xfId="9204"/>
    <cellStyle name="Dane wejściowe 2 18 6 2" xfId="9205"/>
    <cellStyle name="Dane wejściowe 2 18 6 3" xfId="9206"/>
    <cellStyle name="Dane wejściowe 2 18 6 4" xfId="9207"/>
    <cellStyle name="Dane wejściowe 2 18 7" xfId="9208"/>
    <cellStyle name="Dane wejściowe 2 18 7 2" xfId="9209"/>
    <cellStyle name="Dane wejściowe 2 18 7 3" xfId="9210"/>
    <cellStyle name="Dane wejściowe 2 18 7 4" xfId="9211"/>
    <cellStyle name="Dane wejściowe 2 18 8" xfId="9212"/>
    <cellStyle name="Dane wejściowe 2 18 8 2" xfId="9213"/>
    <cellStyle name="Dane wejściowe 2 18 8 3" xfId="9214"/>
    <cellStyle name="Dane wejściowe 2 18 8 4" xfId="9215"/>
    <cellStyle name="Dane wejściowe 2 18 9" xfId="9216"/>
    <cellStyle name="Dane wejściowe 2 18 9 2" xfId="9217"/>
    <cellStyle name="Dane wejściowe 2 18 9 3" xfId="9218"/>
    <cellStyle name="Dane wejściowe 2 18 9 4" xfId="9219"/>
    <cellStyle name="Dane wejściowe 2 19" xfId="9220"/>
    <cellStyle name="Dane wejściowe 2 19 10" xfId="9221"/>
    <cellStyle name="Dane wejściowe 2 19 10 2" xfId="9222"/>
    <cellStyle name="Dane wejściowe 2 19 10 3" xfId="9223"/>
    <cellStyle name="Dane wejściowe 2 19 10 4" xfId="9224"/>
    <cellStyle name="Dane wejściowe 2 19 11" xfId="9225"/>
    <cellStyle name="Dane wejściowe 2 19 11 2" xfId="9226"/>
    <cellStyle name="Dane wejściowe 2 19 11 3" xfId="9227"/>
    <cellStyle name="Dane wejściowe 2 19 11 4" xfId="9228"/>
    <cellStyle name="Dane wejściowe 2 19 12" xfId="9229"/>
    <cellStyle name="Dane wejściowe 2 19 12 2" xfId="9230"/>
    <cellStyle name="Dane wejściowe 2 19 12 3" xfId="9231"/>
    <cellStyle name="Dane wejściowe 2 19 12 4" xfId="9232"/>
    <cellStyle name="Dane wejściowe 2 19 13" xfId="9233"/>
    <cellStyle name="Dane wejściowe 2 19 13 2" xfId="9234"/>
    <cellStyle name="Dane wejściowe 2 19 13 3" xfId="9235"/>
    <cellStyle name="Dane wejściowe 2 19 13 4" xfId="9236"/>
    <cellStyle name="Dane wejściowe 2 19 14" xfId="9237"/>
    <cellStyle name="Dane wejściowe 2 19 14 2" xfId="9238"/>
    <cellStyle name="Dane wejściowe 2 19 14 3" xfId="9239"/>
    <cellStyle name="Dane wejściowe 2 19 14 4" xfId="9240"/>
    <cellStyle name="Dane wejściowe 2 19 15" xfId="9241"/>
    <cellStyle name="Dane wejściowe 2 19 15 2" xfId="9242"/>
    <cellStyle name="Dane wejściowe 2 19 15 3" xfId="9243"/>
    <cellStyle name="Dane wejściowe 2 19 15 4" xfId="9244"/>
    <cellStyle name="Dane wejściowe 2 19 16" xfId="9245"/>
    <cellStyle name="Dane wejściowe 2 19 16 2" xfId="9246"/>
    <cellStyle name="Dane wejściowe 2 19 16 3" xfId="9247"/>
    <cellStyle name="Dane wejściowe 2 19 16 4" xfId="9248"/>
    <cellStyle name="Dane wejściowe 2 19 17" xfId="9249"/>
    <cellStyle name="Dane wejściowe 2 19 17 2" xfId="9250"/>
    <cellStyle name="Dane wejściowe 2 19 17 3" xfId="9251"/>
    <cellStyle name="Dane wejściowe 2 19 17 4" xfId="9252"/>
    <cellStyle name="Dane wejściowe 2 19 18" xfId="9253"/>
    <cellStyle name="Dane wejściowe 2 19 18 2" xfId="9254"/>
    <cellStyle name="Dane wejściowe 2 19 18 3" xfId="9255"/>
    <cellStyle name="Dane wejściowe 2 19 18 4" xfId="9256"/>
    <cellStyle name="Dane wejściowe 2 19 19" xfId="9257"/>
    <cellStyle name="Dane wejściowe 2 19 19 2" xfId="9258"/>
    <cellStyle name="Dane wejściowe 2 19 19 3" xfId="9259"/>
    <cellStyle name="Dane wejściowe 2 19 19 4" xfId="9260"/>
    <cellStyle name="Dane wejściowe 2 19 2" xfId="9261"/>
    <cellStyle name="Dane wejściowe 2 19 2 2" xfId="9262"/>
    <cellStyle name="Dane wejściowe 2 19 2 3" xfId="9263"/>
    <cellStyle name="Dane wejściowe 2 19 2 4" xfId="9264"/>
    <cellStyle name="Dane wejściowe 2 19 20" xfId="9265"/>
    <cellStyle name="Dane wejściowe 2 19 20 2" xfId="9266"/>
    <cellStyle name="Dane wejściowe 2 19 20 3" xfId="9267"/>
    <cellStyle name="Dane wejściowe 2 19 20 4" xfId="9268"/>
    <cellStyle name="Dane wejściowe 2 19 21" xfId="9269"/>
    <cellStyle name="Dane wejściowe 2 19 21 2" xfId="9270"/>
    <cellStyle name="Dane wejściowe 2 19 21 3" xfId="9271"/>
    <cellStyle name="Dane wejściowe 2 19 22" xfId="9272"/>
    <cellStyle name="Dane wejściowe 2 19 22 2" xfId="9273"/>
    <cellStyle name="Dane wejściowe 2 19 22 3" xfId="9274"/>
    <cellStyle name="Dane wejściowe 2 19 23" xfId="9275"/>
    <cellStyle name="Dane wejściowe 2 19 23 2" xfId="9276"/>
    <cellStyle name="Dane wejściowe 2 19 23 3" xfId="9277"/>
    <cellStyle name="Dane wejściowe 2 19 24" xfId="9278"/>
    <cellStyle name="Dane wejściowe 2 19 24 2" xfId="9279"/>
    <cellStyle name="Dane wejściowe 2 19 24 3" xfId="9280"/>
    <cellStyle name="Dane wejściowe 2 19 25" xfId="9281"/>
    <cellStyle name="Dane wejściowe 2 19 25 2" xfId="9282"/>
    <cellStyle name="Dane wejściowe 2 19 25 3" xfId="9283"/>
    <cellStyle name="Dane wejściowe 2 19 26" xfId="9284"/>
    <cellStyle name="Dane wejściowe 2 19 26 2" xfId="9285"/>
    <cellStyle name="Dane wejściowe 2 19 26 3" xfId="9286"/>
    <cellStyle name="Dane wejściowe 2 19 27" xfId="9287"/>
    <cellStyle name="Dane wejściowe 2 19 27 2" xfId="9288"/>
    <cellStyle name="Dane wejściowe 2 19 27 3" xfId="9289"/>
    <cellStyle name="Dane wejściowe 2 19 28" xfId="9290"/>
    <cellStyle name="Dane wejściowe 2 19 28 2" xfId="9291"/>
    <cellStyle name="Dane wejściowe 2 19 28 3" xfId="9292"/>
    <cellStyle name="Dane wejściowe 2 19 29" xfId="9293"/>
    <cellStyle name="Dane wejściowe 2 19 29 2" xfId="9294"/>
    <cellStyle name="Dane wejściowe 2 19 29 3" xfId="9295"/>
    <cellStyle name="Dane wejściowe 2 19 3" xfId="9296"/>
    <cellStyle name="Dane wejściowe 2 19 3 2" xfId="9297"/>
    <cellStyle name="Dane wejściowe 2 19 3 3" xfId="9298"/>
    <cellStyle name="Dane wejściowe 2 19 3 4" xfId="9299"/>
    <cellStyle name="Dane wejściowe 2 19 30" xfId="9300"/>
    <cellStyle name="Dane wejściowe 2 19 30 2" xfId="9301"/>
    <cellStyle name="Dane wejściowe 2 19 30 3" xfId="9302"/>
    <cellStyle name="Dane wejściowe 2 19 31" xfId="9303"/>
    <cellStyle name="Dane wejściowe 2 19 31 2" xfId="9304"/>
    <cellStyle name="Dane wejściowe 2 19 31 3" xfId="9305"/>
    <cellStyle name="Dane wejściowe 2 19 32" xfId="9306"/>
    <cellStyle name="Dane wejściowe 2 19 32 2" xfId="9307"/>
    <cellStyle name="Dane wejściowe 2 19 32 3" xfId="9308"/>
    <cellStyle name="Dane wejściowe 2 19 33" xfId="9309"/>
    <cellStyle name="Dane wejściowe 2 19 33 2" xfId="9310"/>
    <cellStyle name="Dane wejściowe 2 19 33 3" xfId="9311"/>
    <cellStyle name="Dane wejściowe 2 19 34" xfId="9312"/>
    <cellStyle name="Dane wejściowe 2 19 34 2" xfId="9313"/>
    <cellStyle name="Dane wejściowe 2 19 34 3" xfId="9314"/>
    <cellStyle name="Dane wejściowe 2 19 35" xfId="9315"/>
    <cellStyle name="Dane wejściowe 2 19 35 2" xfId="9316"/>
    <cellStyle name="Dane wejściowe 2 19 35 3" xfId="9317"/>
    <cellStyle name="Dane wejściowe 2 19 36" xfId="9318"/>
    <cellStyle name="Dane wejściowe 2 19 36 2" xfId="9319"/>
    <cellStyle name="Dane wejściowe 2 19 36 3" xfId="9320"/>
    <cellStyle name="Dane wejściowe 2 19 37" xfId="9321"/>
    <cellStyle name="Dane wejściowe 2 19 37 2" xfId="9322"/>
    <cellStyle name="Dane wejściowe 2 19 37 3" xfId="9323"/>
    <cellStyle name="Dane wejściowe 2 19 38" xfId="9324"/>
    <cellStyle name="Dane wejściowe 2 19 38 2" xfId="9325"/>
    <cellStyle name="Dane wejściowe 2 19 38 3" xfId="9326"/>
    <cellStyle name="Dane wejściowe 2 19 39" xfId="9327"/>
    <cellStyle name="Dane wejściowe 2 19 39 2" xfId="9328"/>
    <cellStyle name="Dane wejściowe 2 19 39 3" xfId="9329"/>
    <cellStyle name="Dane wejściowe 2 19 4" xfId="9330"/>
    <cellStyle name="Dane wejściowe 2 19 4 2" xfId="9331"/>
    <cellStyle name="Dane wejściowe 2 19 4 3" xfId="9332"/>
    <cellStyle name="Dane wejściowe 2 19 4 4" xfId="9333"/>
    <cellStyle name="Dane wejściowe 2 19 40" xfId="9334"/>
    <cellStyle name="Dane wejściowe 2 19 40 2" xfId="9335"/>
    <cellStyle name="Dane wejściowe 2 19 40 3" xfId="9336"/>
    <cellStyle name="Dane wejściowe 2 19 41" xfId="9337"/>
    <cellStyle name="Dane wejściowe 2 19 41 2" xfId="9338"/>
    <cellStyle name="Dane wejściowe 2 19 41 3" xfId="9339"/>
    <cellStyle name="Dane wejściowe 2 19 42" xfId="9340"/>
    <cellStyle name="Dane wejściowe 2 19 42 2" xfId="9341"/>
    <cellStyle name="Dane wejściowe 2 19 42 3" xfId="9342"/>
    <cellStyle name="Dane wejściowe 2 19 43" xfId="9343"/>
    <cellStyle name="Dane wejściowe 2 19 43 2" xfId="9344"/>
    <cellStyle name="Dane wejściowe 2 19 43 3" xfId="9345"/>
    <cellStyle name="Dane wejściowe 2 19 44" xfId="9346"/>
    <cellStyle name="Dane wejściowe 2 19 44 2" xfId="9347"/>
    <cellStyle name="Dane wejściowe 2 19 44 3" xfId="9348"/>
    <cellStyle name="Dane wejściowe 2 19 45" xfId="9349"/>
    <cellStyle name="Dane wejściowe 2 19 45 2" xfId="9350"/>
    <cellStyle name="Dane wejściowe 2 19 45 3" xfId="9351"/>
    <cellStyle name="Dane wejściowe 2 19 46" xfId="9352"/>
    <cellStyle name="Dane wejściowe 2 19 46 2" xfId="9353"/>
    <cellStyle name="Dane wejściowe 2 19 46 3" xfId="9354"/>
    <cellStyle name="Dane wejściowe 2 19 47" xfId="9355"/>
    <cellStyle name="Dane wejściowe 2 19 47 2" xfId="9356"/>
    <cellStyle name="Dane wejściowe 2 19 47 3" xfId="9357"/>
    <cellStyle name="Dane wejściowe 2 19 48" xfId="9358"/>
    <cellStyle name="Dane wejściowe 2 19 48 2" xfId="9359"/>
    <cellStyle name="Dane wejściowe 2 19 48 3" xfId="9360"/>
    <cellStyle name="Dane wejściowe 2 19 49" xfId="9361"/>
    <cellStyle name="Dane wejściowe 2 19 49 2" xfId="9362"/>
    <cellStyle name="Dane wejściowe 2 19 49 3" xfId="9363"/>
    <cellStyle name="Dane wejściowe 2 19 5" xfId="9364"/>
    <cellStyle name="Dane wejściowe 2 19 5 2" xfId="9365"/>
    <cellStyle name="Dane wejściowe 2 19 5 3" xfId="9366"/>
    <cellStyle name="Dane wejściowe 2 19 5 4" xfId="9367"/>
    <cellStyle name="Dane wejściowe 2 19 50" xfId="9368"/>
    <cellStyle name="Dane wejściowe 2 19 50 2" xfId="9369"/>
    <cellStyle name="Dane wejściowe 2 19 50 3" xfId="9370"/>
    <cellStyle name="Dane wejściowe 2 19 51" xfId="9371"/>
    <cellStyle name="Dane wejściowe 2 19 51 2" xfId="9372"/>
    <cellStyle name="Dane wejściowe 2 19 51 3" xfId="9373"/>
    <cellStyle name="Dane wejściowe 2 19 52" xfId="9374"/>
    <cellStyle name="Dane wejściowe 2 19 52 2" xfId="9375"/>
    <cellStyle name="Dane wejściowe 2 19 52 3" xfId="9376"/>
    <cellStyle name="Dane wejściowe 2 19 53" xfId="9377"/>
    <cellStyle name="Dane wejściowe 2 19 53 2" xfId="9378"/>
    <cellStyle name="Dane wejściowe 2 19 53 3" xfId="9379"/>
    <cellStyle name="Dane wejściowe 2 19 54" xfId="9380"/>
    <cellStyle name="Dane wejściowe 2 19 54 2" xfId="9381"/>
    <cellStyle name="Dane wejściowe 2 19 54 3" xfId="9382"/>
    <cellStyle name="Dane wejściowe 2 19 55" xfId="9383"/>
    <cellStyle name="Dane wejściowe 2 19 55 2" xfId="9384"/>
    <cellStyle name="Dane wejściowe 2 19 55 3" xfId="9385"/>
    <cellStyle name="Dane wejściowe 2 19 56" xfId="9386"/>
    <cellStyle name="Dane wejściowe 2 19 56 2" xfId="9387"/>
    <cellStyle name="Dane wejściowe 2 19 56 3" xfId="9388"/>
    <cellStyle name="Dane wejściowe 2 19 57" xfId="9389"/>
    <cellStyle name="Dane wejściowe 2 19 58" xfId="9390"/>
    <cellStyle name="Dane wejściowe 2 19 6" xfId="9391"/>
    <cellStyle name="Dane wejściowe 2 19 6 2" xfId="9392"/>
    <cellStyle name="Dane wejściowe 2 19 6 3" xfId="9393"/>
    <cellStyle name="Dane wejściowe 2 19 6 4" xfId="9394"/>
    <cellStyle name="Dane wejściowe 2 19 7" xfId="9395"/>
    <cellStyle name="Dane wejściowe 2 19 7 2" xfId="9396"/>
    <cellStyle name="Dane wejściowe 2 19 7 3" xfId="9397"/>
    <cellStyle name="Dane wejściowe 2 19 7 4" xfId="9398"/>
    <cellStyle name="Dane wejściowe 2 19 8" xfId="9399"/>
    <cellStyle name="Dane wejściowe 2 19 8 2" xfId="9400"/>
    <cellStyle name="Dane wejściowe 2 19 8 3" xfId="9401"/>
    <cellStyle name="Dane wejściowe 2 19 8 4" xfId="9402"/>
    <cellStyle name="Dane wejściowe 2 19 9" xfId="9403"/>
    <cellStyle name="Dane wejściowe 2 19 9 2" xfId="9404"/>
    <cellStyle name="Dane wejściowe 2 19 9 3" xfId="9405"/>
    <cellStyle name="Dane wejściowe 2 19 9 4" xfId="9406"/>
    <cellStyle name="Dane wejściowe 2 2" xfId="9407"/>
    <cellStyle name="Dane wejściowe 2 2 10" xfId="9408"/>
    <cellStyle name="Dane wejściowe 2 2 10 2" xfId="9409"/>
    <cellStyle name="Dane wejściowe 2 2 10 3" xfId="9410"/>
    <cellStyle name="Dane wejściowe 2 2 10 4" xfId="9411"/>
    <cellStyle name="Dane wejściowe 2 2 11" xfId="9412"/>
    <cellStyle name="Dane wejściowe 2 2 11 2" xfId="9413"/>
    <cellStyle name="Dane wejściowe 2 2 11 3" xfId="9414"/>
    <cellStyle name="Dane wejściowe 2 2 11 4" xfId="9415"/>
    <cellStyle name="Dane wejściowe 2 2 12" xfId="9416"/>
    <cellStyle name="Dane wejściowe 2 2 12 2" xfId="9417"/>
    <cellStyle name="Dane wejściowe 2 2 12 3" xfId="9418"/>
    <cellStyle name="Dane wejściowe 2 2 12 4" xfId="9419"/>
    <cellStyle name="Dane wejściowe 2 2 13" xfId="9420"/>
    <cellStyle name="Dane wejściowe 2 2 13 2" xfId="9421"/>
    <cellStyle name="Dane wejściowe 2 2 13 3" xfId="9422"/>
    <cellStyle name="Dane wejściowe 2 2 13 4" xfId="9423"/>
    <cellStyle name="Dane wejściowe 2 2 14" xfId="9424"/>
    <cellStyle name="Dane wejściowe 2 2 14 2" xfId="9425"/>
    <cellStyle name="Dane wejściowe 2 2 14 3" xfId="9426"/>
    <cellStyle name="Dane wejściowe 2 2 14 4" xfId="9427"/>
    <cellStyle name="Dane wejściowe 2 2 15" xfId="9428"/>
    <cellStyle name="Dane wejściowe 2 2 15 2" xfId="9429"/>
    <cellStyle name="Dane wejściowe 2 2 15 3" xfId="9430"/>
    <cellStyle name="Dane wejściowe 2 2 15 4" xfId="9431"/>
    <cellStyle name="Dane wejściowe 2 2 16" xfId="9432"/>
    <cellStyle name="Dane wejściowe 2 2 16 2" xfId="9433"/>
    <cellStyle name="Dane wejściowe 2 2 16 3" xfId="9434"/>
    <cellStyle name="Dane wejściowe 2 2 16 4" xfId="9435"/>
    <cellStyle name="Dane wejściowe 2 2 17" xfId="9436"/>
    <cellStyle name="Dane wejściowe 2 2 17 2" xfId="9437"/>
    <cellStyle name="Dane wejściowe 2 2 17 3" xfId="9438"/>
    <cellStyle name="Dane wejściowe 2 2 17 4" xfId="9439"/>
    <cellStyle name="Dane wejściowe 2 2 18" xfId="9440"/>
    <cellStyle name="Dane wejściowe 2 2 18 2" xfId="9441"/>
    <cellStyle name="Dane wejściowe 2 2 18 3" xfId="9442"/>
    <cellStyle name="Dane wejściowe 2 2 18 4" xfId="9443"/>
    <cellStyle name="Dane wejściowe 2 2 19" xfId="9444"/>
    <cellStyle name="Dane wejściowe 2 2 19 2" xfId="9445"/>
    <cellStyle name="Dane wejściowe 2 2 19 3" xfId="9446"/>
    <cellStyle name="Dane wejściowe 2 2 19 4" xfId="9447"/>
    <cellStyle name="Dane wejściowe 2 2 2" xfId="9448"/>
    <cellStyle name="Dane wejściowe 2 2 2 2" xfId="9449"/>
    <cellStyle name="Dane wejściowe 2 2 2 3" xfId="9450"/>
    <cellStyle name="Dane wejściowe 2 2 2 4" xfId="9451"/>
    <cellStyle name="Dane wejściowe 2 2 20" xfId="9452"/>
    <cellStyle name="Dane wejściowe 2 2 20 2" xfId="9453"/>
    <cellStyle name="Dane wejściowe 2 2 20 3" xfId="9454"/>
    <cellStyle name="Dane wejściowe 2 2 20 4" xfId="9455"/>
    <cellStyle name="Dane wejściowe 2 2 21" xfId="9456"/>
    <cellStyle name="Dane wejściowe 2 2 21 2" xfId="9457"/>
    <cellStyle name="Dane wejściowe 2 2 21 3" xfId="9458"/>
    <cellStyle name="Dane wejściowe 2 2 22" xfId="9459"/>
    <cellStyle name="Dane wejściowe 2 2 22 2" xfId="9460"/>
    <cellStyle name="Dane wejściowe 2 2 22 3" xfId="9461"/>
    <cellStyle name="Dane wejściowe 2 2 22 4" xfId="9462"/>
    <cellStyle name="Dane wejściowe 2 2 23" xfId="9463"/>
    <cellStyle name="Dane wejściowe 2 2 23 2" xfId="9464"/>
    <cellStyle name="Dane wejściowe 2 2 23 3" xfId="9465"/>
    <cellStyle name="Dane wejściowe 2 2 23 4" xfId="9466"/>
    <cellStyle name="Dane wejściowe 2 2 24" xfId="9467"/>
    <cellStyle name="Dane wejściowe 2 2 24 2" xfId="9468"/>
    <cellStyle name="Dane wejściowe 2 2 24 3" xfId="9469"/>
    <cellStyle name="Dane wejściowe 2 2 24 4" xfId="9470"/>
    <cellStyle name="Dane wejściowe 2 2 25" xfId="9471"/>
    <cellStyle name="Dane wejściowe 2 2 25 2" xfId="9472"/>
    <cellStyle name="Dane wejściowe 2 2 25 3" xfId="9473"/>
    <cellStyle name="Dane wejściowe 2 2 26" xfId="9474"/>
    <cellStyle name="Dane wejściowe 2 2 26 2" xfId="9475"/>
    <cellStyle name="Dane wejściowe 2 2 26 3" xfId="9476"/>
    <cellStyle name="Dane wejściowe 2 2 27" xfId="9477"/>
    <cellStyle name="Dane wejściowe 2 2 27 2" xfId="9478"/>
    <cellStyle name="Dane wejściowe 2 2 27 3" xfId="9479"/>
    <cellStyle name="Dane wejściowe 2 2 28" xfId="9480"/>
    <cellStyle name="Dane wejściowe 2 2 28 2" xfId="9481"/>
    <cellStyle name="Dane wejściowe 2 2 28 3" xfId="9482"/>
    <cellStyle name="Dane wejściowe 2 2 29" xfId="9483"/>
    <cellStyle name="Dane wejściowe 2 2 29 2" xfId="9484"/>
    <cellStyle name="Dane wejściowe 2 2 29 3" xfId="9485"/>
    <cellStyle name="Dane wejściowe 2 2 3" xfId="9486"/>
    <cellStyle name="Dane wejściowe 2 2 3 2" xfId="9487"/>
    <cellStyle name="Dane wejściowe 2 2 3 3" xfId="9488"/>
    <cellStyle name="Dane wejściowe 2 2 3 4" xfId="9489"/>
    <cellStyle name="Dane wejściowe 2 2 30" xfId="9490"/>
    <cellStyle name="Dane wejściowe 2 2 30 2" xfId="9491"/>
    <cellStyle name="Dane wejściowe 2 2 30 3" xfId="9492"/>
    <cellStyle name="Dane wejściowe 2 2 31" xfId="9493"/>
    <cellStyle name="Dane wejściowe 2 2 31 2" xfId="9494"/>
    <cellStyle name="Dane wejściowe 2 2 31 3" xfId="9495"/>
    <cellStyle name="Dane wejściowe 2 2 32" xfId="9496"/>
    <cellStyle name="Dane wejściowe 2 2 32 2" xfId="9497"/>
    <cellStyle name="Dane wejściowe 2 2 32 3" xfId="9498"/>
    <cellStyle name="Dane wejściowe 2 2 33" xfId="9499"/>
    <cellStyle name="Dane wejściowe 2 2 33 2" xfId="9500"/>
    <cellStyle name="Dane wejściowe 2 2 33 3" xfId="9501"/>
    <cellStyle name="Dane wejściowe 2 2 34" xfId="9502"/>
    <cellStyle name="Dane wejściowe 2 2 34 2" xfId="9503"/>
    <cellStyle name="Dane wejściowe 2 2 34 3" xfId="9504"/>
    <cellStyle name="Dane wejściowe 2 2 35" xfId="9505"/>
    <cellStyle name="Dane wejściowe 2 2 35 2" xfId="9506"/>
    <cellStyle name="Dane wejściowe 2 2 35 3" xfId="9507"/>
    <cellStyle name="Dane wejściowe 2 2 36" xfId="9508"/>
    <cellStyle name="Dane wejściowe 2 2 36 2" xfId="9509"/>
    <cellStyle name="Dane wejściowe 2 2 36 3" xfId="9510"/>
    <cellStyle name="Dane wejściowe 2 2 37" xfId="9511"/>
    <cellStyle name="Dane wejściowe 2 2 37 2" xfId="9512"/>
    <cellStyle name="Dane wejściowe 2 2 37 3" xfId="9513"/>
    <cellStyle name="Dane wejściowe 2 2 38" xfId="9514"/>
    <cellStyle name="Dane wejściowe 2 2 38 2" xfId="9515"/>
    <cellStyle name="Dane wejściowe 2 2 38 3" xfId="9516"/>
    <cellStyle name="Dane wejściowe 2 2 39" xfId="9517"/>
    <cellStyle name="Dane wejściowe 2 2 39 2" xfId="9518"/>
    <cellStyle name="Dane wejściowe 2 2 39 3" xfId="9519"/>
    <cellStyle name="Dane wejściowe 2 2 4" xfId="9520"/>
    <cellStyle name="Dane wejściowe 2 2 4 2" xfId="9521"/>
    <cellStyle name="Dane wejściowe 2 2 4 3" xfId="9522"/>
    <cellStyle name="Dane wejściowe 2 2 4 4" xfId="9523"/>
    <cellStyle name="Dane wejściowe 2 2 40" xfId="9524"/>
    <cellStyle name="Dane wejściowe 2 2 40 2" xfId="9525"/>
    <cellStyle name="Dane wejściowe 2 2 40 3" xfId="9526"/>
    <cellStyle name="Dane wejściowe 2 2 41" xfId="9527"/>
    <cellStyle name="Dane wejściowe 2 2 41 2" xfId="9528"/>
    <cellStyle name="Dane wejściowe 2 2 41 3" xfId="9529"/>
    <cellStyle name="Dane wejściowe 2 2 42" xfId="9530"/>
    <cellStyle name="Dane wejściowe 2 2 42 2" xfId="9531"/>
    <cellStyle name="Dane wejściowe 2 2 42 3" xfId="9532"/>
    <cellStyle name="Dane wejściowe 2 2 43" xfId="9533"/>
    <cellStyle name="Dane wejściowe 2 2 43 2" xfId="9534"/>
    <cellStyle name="Dane wejściowe 2 2 43 3" xfId="9535"/>
    <cellStyle name="Dane wejściowe 2 2 44" xfId="9536"/>
    <cellStyle name="Dane wejściowe 2 2 44 2" xfId="9537"/>
    <cellStyle name="Dane wejściowe 2 2 44 3" xfId="9538"/>
    <cellStyle name="Dane wejściowe 2 2 45" xfId="9539"/>
    <cellStyle name="Dane wejściowe 2 2 45 2" xfId="9540"/>
    <cellStyle name="Dane wejściowe 2 2 45 3" xfId="9541"/>
    <cellStyle name="Dane wejściowe 2 2 46" xfId="9542"/>
    <cellStyle name="Dane wejściowe 2 2 46 2" xfId="9543"/>
    <cellStyle name="Dane wejściowe 2 2 46 3" xfId="9544"/>
    <cellStyle name="Dane wejściowe 2 2 47" xfId="9545"/>
    <cellStyle name="Dane wejściowe 2 2 47 2" xfId="9546"/>
    <cellStyle name="Dane wejściowe 2 2 47 3" xfId="9547"/>
    <cellStyle name="Dane wejściowe 2 2 48" xfId="9548"/>
    <cellStyle name="Dane wejściowe 2 2 48 2" xfId="9549"/>
    <cellStyle name="Dane wejściowe 2 2 48 3" xfId="9550"/>
    <cellStyle name="Dane wejściowe 2 2 49" xfId="9551"/>
    <cellStyle name="Dane wejściowe 2 2 49 2" xfId="9552"/>
    <cellStyle name="Dane wejściowe 2 2 49 3" xfId="9553"/>
    <cellStyle name="Dane wejściowe 2 2 5" xfId="9554"/>
    <cellStyle name="Dane wejściowe 2 2 5 2" xfId="9555"/>
    <cellStyle name="Dane wejściowe 2 2 5 3" xfId="9556"/>
    <cellStyle name="Dane wejściowe 2 2 5 4" xfId="9557"/>
    <cellStyle name="Dane wejściowe 2 2 50" xfId="9558"/>
    <cellStyle name="Dane wejściowe 2 2 50 2" xfId="9559"/>
    <cellStyle name="Dane wejściowe 2 2 50 3" xfId="9560"/>
    <cellStyle name="Dane wejściowe 2 2 51" xfId="9561"/>
    <cellStyle name="Dane wejściowe 2 2 51 2" xfId="9562"/>
    <cellStyle name="Dane wejściowe 2 2 51 3" xfId="9563"/>
    <cellStyle name="Dane wejściowe 2 2 52" xfId="9564"/>
    <cellStyle name="Dane wejściowe 2 2 52 2" xfId="9565"/>
    <cellStyle name="Dane wejściowe 2 2 52 3" xfId="9566"/>
    <cellStyle name="Dane wejściowe 2 2 53" xfId="9567"/>
    <cellStyle name="Dane wejściowe 2 2 53 2" xfId="9568"/>
    <cellStyle name="Dane wejściowe 2 2 53 3" xfId="9569"/>
    <cellStyle name="Dane wejściowe 2 2 54" xfId="9570"/>
    <cellStyle name="Dane wejściowe 2 2 54 2" xfId="9571"/>
    <cellStyle name="Dane wejściowe 2 2 54 3" xfId="9572"/>
    <cellStyle name="Dane wejściowe 2 2 55" xfId="9573"/>
    <cellStyle name="Dane wejściowe 2 2 55 2" xfId="9574"/>
    <cellStyle name="Dane wejściowe 2 2 55 3" xfId="9575"/>
    <cellStyle name="Dane wejściowe 2 2 56" xfId="9576"/>
    <cellStyle name="Dane wejściowe 2 2 56 2" xfId="9577"/>
    <cellStyle name="Dane wejściowe 2 2 56 3" xfId="9578"/>
    <cellStyle name="Dane wejściowe 2 2 57" xfId="9579"/>
    <cellStyle name="Dane wejściowe 2 2 58" xfId="9580"/>
    <cellStyle name="Dane wejściowe 2 2 59" xfId="9581"/>
    <cellStyle name="Dane wejściowe 2 2 6" xfId="9582"/>
    <cellStyle name="Dane wejściowe 2 2 6 2" xfId="9583"/>
    <cellStyle name="Dane wejściowe 2 2 6 3" xfId="9584"/>
    <cellStyle name="Dane wejściowe 2 2 6 4" xfId="9585"/>
    <cellStyle name="Dane wejściowe 2 2 7" xfId="9586"/>
    <cellStyle name="Dane wejściowe 2 2 7 2" xfId="9587"/>
    <cellStyle name="Dane wejściowe 2 2 7 3" xfId="9588"/>
    <cellStyle name="Dane wejściowe 2 2 7 4" xfId="9589"/>
    <cellStyle name="Dane wejściowe 2 2 8" xfId="9590"/>
    <cellStyle name="Dane wejściowe 2 2 8 2" xfId="9591"/>
    <cellStyle name="Dane wejściowe 2 2 8 3" xfId="9592"/>
    <cellStyle name="Dane wejściowe 2 2 8 4" xfId="9593"/>
    <cellStyle name="Dane wejściowe 2 2 9" xfId="9594"/>
    <cellStyle name="Dane wejściowe 2 2 9 2" xfId="9595"/>
    <cellStyle name="Dane wejściowe 2 2 9 3" xfId="9596"/>
    <cellStyle name="Dane wejściowe 2 2 9 4" xfId="9597"/>
    <cellStyle name="Dane wejściowe 2 20" xfId="9598"/>
    <cellStyle name="Dane wejściowe 2 20 10" xfId="9599"/>
    <cellStyle name="Dane wejściowe 2 20 10 2" xfId="9600"/>
    <cellStyle name="Dane wejściowe 2 20 10 3" xfId="9601"/>
    <cellStyle name="Dane wejściowe 2 20 10 4" xfId="9602"/>
    <cellStyle name="Dane wejściowe 2 20 11" xfId="9603"/>
    <cellStyle name="Dane wejściowe 2 20 11 2" xfId="9604"/>
    <cellStyle name="Dane wejściowe 2 20 11 3" xfId="9605"/>
    <cellStyle name="Dane wejściowe 2 20 11 4" xfId="9606"/>
    <cellStyle name="Dane wejściowe 2 20 12" xfId="9607"/>
    <cellStyle name="Dane wejściowe 2 20 12 2" xfId="9608"/>
    <cellStyle name="Dane wejściowe 2 20 12 3" xfId="9609"/>
    <cellStyle name="Dane wejściowe 2 20 12 4" xfId="9610"/>
    <cellStyle name="Dane wejściowe 2 20 13" xfId="9611"/>
    <cellStyle name="Dane wejściowe 2 20 13 2" xfId="9612"/>
    <cellStyle name="Dane wejściowe 2 20 13 3" xfId="9613"/>
    <cellStyle name="Dane wejściowe 2 20 13 4" xfId="9614"/>
    <cellStyle name="Dane wejściowe 2 20 14" xfId="9615"/>
    <cellStyle name="Dane wejściowe 2 20 14 2" xfId="9616"/>
    <cellStyle name="Dane wejściowe 2 20 14 3" xfId="9617"/>
    <cellStyle name="Dane wejściowe 2 20 14 4" xfId="9618"/>
    <cellStyle name="Dane wejściowe 2 20 15" xfId="9619"/>
    <cellStyle name="Dane wejściowe 2 20 15 2" xfId="9620"/>
    <cellStyle name="Dane wejściowe 2 20 15 3" xfId="9621"/>
    <cellStyle name="Dane wejściowe 2 20 15 4" xfId="9622"/>
    <cellStyle name="Dane wejściowe 2 20 16" xfId="9623"/>
    <cellStyle name="Dane wejściowe 2 20 16 2" xfId="9624"/>
    <cellStyle name="Dane wejściowe 2 20 16 3" xfId="9625"/>
    <cellStyle name="Dane wejściowe 2 20 16 4" xfId="9626"/>
    <cellStyle name="Dane wejściowe 2 20 17" xfId="9627"/>
    <cellStyle name="Dane wejściowe 2 20 17 2" xfId="9628"/>
    <cellStyle name="Dane wejściowe 2 20 17 3" xfId="9629"/>
    <cellStyle name="Dane wejściowe 2 20 17 4" xfId="9630"/>
    <cellStyle name="Dane wejściowe 2 20 18" xfId="9631"/>
    <cellStyle name="Dane wejściowe 2 20 18 2" xfId="9632"/>
    <cellStyle name="Dane wejściowe 2 20 18 3" xfId="9633"/>
    <cellStyle name="Dane wejściowe 2 20 18 4" xfId="9634"/>
    <cellStyle name="Dane wejściowe 2 20 19" xfId="9635"/>
    <cellStyle name="Dane wejściowe 2 20 19 2" xfId="9636"/>
    <cellStyle name="Dane wejściowe 2 20 19 3" xfId="9637"/>
    <cellStyle name="Dane wejściowe 2 20 19 4" xfId="9638"/>
    <cellStyle name="Dane wejściowe 2 20 2" xfId="9639"/>
    <cellStyle name="Dane wejściowe 2 20 2 2" xfId="9640"/>
    <cellStyle name="Dane wejściowe 2 20 2 3" xfId="9641"/>
    <cellStyle name="Dane wejściowe 2 20 2 4" xfId="9642"/>
    <cellStyle name="Dane wejściowe 2 20 20" xfId="9643"/>
    <cellStyle name="Dane wejściowe 2 20 20 2" xfId="9644"/>
    <cellStyle name="Dane wejściowe 2 20 20 3" xfId="9645"/>
    <cellStyle name="Dane wejściowe 2 20 20 4" xfId="9646"/>
    <cellStyle name="Dane wejściowe 2 20 21" xfId="9647"/>
    <cellStyle name="Dane wejściowe 2 20 21 2" xfId="9648"/>
    <cellStyle name="Dane wejściowe 2 20 21 3" xfId="9649"/>
    <cellStyle name="Dane wejściowe 2 20 22" xfId="9650"/>
    <cellStyle name="Dane wejściowe 2 20 22 2" xfId="9651"/>
    <cellStyle name="Dane wejściowe 2 20 22 3" xfId="9652"/>
    <cellStyle name="Dane wejściowe 2 20 23" xfId="9653"/>
    <cellStyle name="Dane wejściowe 2 20 23 2" xfId="9654"/>
    <cellStyle name="Dane wejściowe 2 20 23 3" xfId="9655"/>
    <cellStyle name="Dane wejściowe 2 20 24" xfId="9656"/>
    <cellStyle name="Dane wejściowe 2 20 24 2" xfId="9657"/>
    <cellStyle name="Dane wejściowe 2 20 24 3" xfId="9658"/>
    <cellStyle name="Dane wejściowe 2 20 25" xfId="9659"/>
    <cellStyle name="Dane wejściowe 2 20 25 2" xfId="9660"/>
    <cellStyle name="Dane wejściowe 2 20 25 3" xfId="9661"/>
    <cellStyle name="Dane wejściowe 2 20 26" xfId="9662"/>
    <cellStyle name="Dane wejściowe 2 20 26 2" xfId="9663"/>
    <cellStyle name="Dane wejściowe 2 20 26 3" xfId="9664"/>
    <cellStyle name="Dane wejściowe 2 20 27" xfId="9665"/>
    <cellStyle name="Dane wejściowe 2 20 27 2" xfId="9666"/>
    <cellStyle name="Dane wejściowe 2 20 27 3" xfId="9667"/>
    <cellStyle name="Dane wejściowe 2 20 28" xfId="9668"/>
    <cellStyle name="Dane wejściowe 2 20 28 2" xfId="9669"/>
    <cellStyle name="Dane wejściowe 2 20 28 3" xfId="9670"/>
    <cellStyle name="Dane wejściowe 2 20 29" xfId="9671"/>
    <cellStyle name="Dane wejściowe 2 20 29 2" xfId="9672"/>
    <cellStyle name="Dane wejściowe 2 20 29 3" xfId="9673"/>
    <cellStyle name="Dane wejściowe 2 20 3" xfId="9674"/>
    <cellStyle name="Dane wejściowe 2 20 3 2" xfId="9675"/>
    <cellStyle name="Dane wejściowe 2 20 3 3" xfId="9676"/>
    <cellStyle name="Dane wejściowe 2 20 3 4" xfId="9677"/>
    <cellStyle name="Dane wejściowe 2 20 30" xfId="9678"/>
    <cellStyle name="Dane wejściowe 2 20 30 2" xfId="9679"/>
    <cellStyle name="Dane wejściowe 2 20 30 3" xfId="9680"/>
    <cellStyle name="Dane wejściowe 2 20 31" xfId="9681"/>
    <cellStyle name="Dane wejściowe 2 20 31 2" xfId="9682"/>
    <cellStyle name="Dane wejściowe 2 20 31 3" xfId="9683"/>
    <cellStyle name="Dane wejściowe 2 20 32" xfId="9684"/>
    <cellStyle name="Dane wejściowe 2 20 32 2" xfId="9685"/>
    <cellStyle name="Dane wejściowe 2 20 32 3" xfId="9686"/>
    <cellStyle name="Dane wejściowe 2 20 33" xfId="9687"/>
    <cellStyle name="Dane wejściowe 2 20 33 2" xfId="9688"/>
    <cellStyle name="Dane wejściowe 2 20 33 3" xfId="9689"/>
    <cellStyle name="Dane wejściowe 2 20 34" xfId="9690"/>
    <cellStyle name="Dane wejściowe 2 20 34 2" xfId="9691"/>
    <cellStyle name="Dane wejściowe 2 20 34 3" xfId="9692"/>
    <cellStyle name="Dane wejściowe 2 20 35" xfId="9693"/>
    <cellStyle name="Dane wejściowe 2 20 35 2" xfId="9694"/>
    <cellStyle name="Dane wejściowe 2 20 35 3" xfId="9695"/>
    <cellStyle name="Dane wejściowe 2 20 36" xfId="9696"/>
    <cellStyle name="Dane wejściowe 2 20 36 2" xfId="9697"/>
    <cellStyle name="Dane wejściowe 2 20 36 3" xfId="9698"/>
    <cellStyle name="Dane wejściowe 2 20 37" xfId="9699"/>
    <cellStyle name="Dane wejściowe 2 20 37 2" xfId="9700"/>
    <cellStyle name="Dane wejściowe 2 20 37 3" xfId="9701"/>
    <cellStyle name="Dane wejściowe 2 20 38" xfId="9702"/>
    <cellStyle name="Dane wejściowe 2 20 38 2" xfId="9703"/>
    <cellStyle name="Dane wejściowe 2 20 38 3" xfId="9704"/>
    <cellStyle name="Dane wejściowe 2 20 39" xfId="9705"/>
    <cellStyle name="Dane wejściowe 2 20 39 2" xfId="9706"/>
    <cellStyle name="Dane wejściowe 2 20 39 3" xfId="9707"/>
    <cellStyle name="Dane wejściowe 2 20 4" xfId="9708"/>
    <cellStyle name="Dane wejściowe 2 20 4 2" xfId="9709"/>
    <cellStyle name="Dane wejściowe 2 20 4 3" xfId="9710"/>
    <cellStyle name="Dane wejściowe 2 20 4 4" xfId="9711"/>
    <cellStyle name="Dane wejściowe 2 20 40" xfId="9712"/>
    <cellStyle name="Dane wejściowe 2 20 40 2" xfId="9713"/>
    <cellStyle name="Dane wejściowe 2 20 40 3" xfId="9714"/>
    <cellStyle name="Dane wejściowe 2 20 41" xfId="9715"/>
    <cellStyle name="Dane wejściowe 2 20 41 2" xfId="9716"/>
    <cellStyle name="Dane wejściowe 2 20 41 3" xfId="9717"/>
    <cellStyle name="Dane wejściowe 2 20 42" xfId="9718"/>
    <cellStyle name="Dane wejściowe 2 20 42 2" xfId="9719"/>
    <cellStyle name="Dane wejściowe 2 20 42 3" xfId="9720"/>
    <cellStyle name="Dane wejściowe 2 20 43" xfId="9721"/>
    <cellStyle name="Dane wejściowe 2 20 43 2" xfId="9722"/>
    <cellStyle name="Dane wejściowe 2 20 43 3" xfId="9723"/>
    <cellStyle name="Dane wejściowe 2 20 44" xfId="9724"/>
    <cellStyle name="Dane wejściowe 2 20 44 2" xfId="9725"/>
    <cellStyle name="Dane wejściowe 2 20 44 3" xfId="9726"/>
    <cellStyle name="Dane wejściowe 2 20 45" xfId="9727"/>
    <cellStyle name="Dane wejściowe 2 20 45 2" xfId="9728"/>
    <cellStyle name="Dane wejściowe 2 20 45 3" xfId="9729"/>
    <cellStyle name="Dane wejściowe 2 20 46" xfId="9730"/>
    <cellStyle name="Dane wejściowe 2 20 46 2" xfId="9731"/>
    <cellStyle name="Dane wejściowe 2 20 46 3" xfId="9732"/>
    <cellStyle name="Dane wejściowe 2 20 47" xfId="9733"/>
    <cellStyle name="Dane wejściowe 2 20 47 2" xfId="9734"/>
    <cellStyle name="Dane wejściowe 2 20 47 3" xfId="9735"/>
    <cellStyle name="Dane wejściowe 2 20 48" xfId="9736"/>
    <cellStyle name="Dane wejściowe 2 20 48 2" xfId="9737"/>
    <cellStyle name="Dane wejściowe 2 20 48 3" xfId="9738"/>
    <cellStyle name="Dane wejściowe 2 20 49" xfId="9739"/>
    <cellStyle name="Dane wejściowe 2 20 49 2" xfId="9740"/>
    <cellStyle name="Dane wejściowe 2 20 49 3" xfId="9741"/>
    <cellStyle name="Dane wejściowe 2 20 5" xfId="9742"/>
    <cellStyle name="Dane wejściowe 2 20 5 2" xfId="9743"/>
    <cellStyle name="Dane wejściowe 2 20 5 3" xfId="9744"/>
    <cellStyle name="Dane wejściowe 2 20 5 4" xfId="9745"/>
    <cellStyle name="Dane wejściowe 2 20 50" xfId="9746"/>
    <cellStyle name="Dane wejściowe 2 20 50 2" xfId="9747"/>
    <cellStyle name="Dane wejściowe 2 20 50 3" xfId="9748"/>
    <cellStyle name="Dane wejściowe 2 20 51" xfId="9749"/>
    <cellStyle name="Dane wejściowe 2 20 51 2" xfId="9750"/>
    <cellStyle name="Dane wejściowe 2 20 51 3" xfId="9751"/>
    <cellStyle name="Dane wejściowe 2 20 52" xfId="9752"/>
    <cellStyle name="Dane wejściowe 2 20 52 2" xfId="9753"/>
    <cellStyle name="Dane wejściowe 2 20 52 3" xfId="9754"/>
    <cellStyle name="Dane wejściowe 2 20 53" xfId="9755"/>
    <cellStyle name="Dane wejściowe 2 20 53 2" xfId="9756"/>
    <cellStyle name="Dane wejściowe 2 20 53 3" xfId="9757"/>
    <cellStyle name="Dane wejściowe 2 20 54" xfId="9758"/>
    <cellStyle name="Dane wejściowe 2 20 54 2" xfId="9759"/>
    <cellStyle name="Dane wejściowe 2 20 54 3" xfId="9760"/>
    <cellStyle name="Dane wejściowe 2 20 55" xfId="9761"/>
    <cellStyle name="Dane wejściowe 2 20 55 2" xfId="9762"/>
    <cellStyle name="Dane wejściowe 2 20 55 3" xfId="9763"/>
    <cellStyle name="Dane wejściowe 2 20 56" xfId="9764"/>
    <cellStyle name="Dane wejściowe 2 20 56 2" xfId="9765"/>
    <cellStyle name="Dane wejściowe 2 20 56 3" xfId="9766"/>
    <cellStyle name="Dane wejściowe 2 20 57" xfId="9767"/>
    <cellStyle name="Dane wejściowe 2 20 58" xfId="9768"/>
    <cellStyle name="Dane wejściowe 2 20 6" xfId="9769"/>
    <cellStyle name="Dane wejściowe 2 20 6 2" xfId="9770"/>
    <cellStyle name="Dane wejściowe 2 20 6 3" xfId="9771"/>
    <cellStyle name="Dane wejściowe 2 20 6 4" xfId="9772"/>
    <cellStyle name="Dane wejściowe 2 20 7" xfId="9773"/>
    <cellStyle name="Dane wejściowe 2 20 7 2" xfId="9774"/>
    <cellStyle name="Dane wejściowe 2 20 7 3" xfId="9775"/>
    <cellStyle name="Dane wejściowe 2 20 7 4" xfId="9776"/>
    <cellStyle name="Dane wejściowe 2 20 8" xfId="9777"/>
    <cellStyle name="Dane wejściowe 2 20 8 2" xfId="9778"/>
    <cellStyle name="Dane wejściowe 2 20 8 3" xfId="9779"/>
    <cellStyle name="Dane wejściowe 2 20 8 4" xfId="9780"/>
    <cellStyle name="Dane wejściowe 2 20 9" xfId="9781"/>
    <cellStyle name="Dane wejściowe 2 20 9 2" xfId="9782"/>
    <cellStyle name="Dane wejściowe 2 20 9 3" xfId="9783"/>
    <cellStyle name="Dane wejściowe 2 20 9 4" xfId="9784"/>
    <cellStyle name="Dane wejściowe 2 21" xfId="9785"/>
    <cellStyle name="Dane wejściowe 2 21 10" xfId="9786"/>
    <cellStyle name="Dane wejściowe 2 21 10 2" xfId="9787"/>
    <cellStyle name="Dane wejściowe 2 21 10 3" xfId="9788"/>
    <cellStyle name="Dane wejściowe 2 21 10 4" xfId="9789"/>
    <cellStyle name="Dane wejściowe 2 21 11" xfId="9790"/>
    <cellStyle name="Dane wejściowe 2 21 11 2" xfId="9791"/>
    <cellStyle name="Dane wejściowe 2 21 11 3" xfId="9792"/>
    <cellStyle name="Dane wejściowe 2 21 11 4" xfId="9793"/>
    <cellStyle name="Dane wejściowe 2 21 12" xfId="9794"/>
    <cellStyle name="Dane wejściowe 2 21 12 2" xfId="9795"/>
    <cellStyle name="Dane wejściowe 2 21 12 3" xfId="9796"/>
    <cellStyle name="Dane wejściowe 2 21 12 4" xfId="9797"/>
    <cellStyle name="Dane wejściowe 2 21 13" xfId="9798"/>
    <cellStyle name="Dane wejściowe 2 21 13 2" xfId="9799"/>
    <cellStyle name="Dane wejściowe 2 21 13 3" xfId="9800"/>
    <cellStyle name="Dane wejściowe 2 21 13 4" xfId="9801"/>
    <cellStyle name="Dane wejściowe 2 21 14" xfId="9802"/>
    <cellStyle name="Dane wejściowe 2 21 14 2" xfId="9803"/>
    <cellStyle name="Dane wejściowe 2 21 14 3" xfId="9804"/>
    <cellStyle name="Dane wejściowe 2 21 14 4" xfId="9805"/>
    <cellStyle name="Dane wejściowe 2 21 15" xfId="9806"/>
    <cellStyle name="Dane wejściowe 2 21 15 2" xfId="9807"/>
    <cellStyle name="Dane wejściowe 2 21 15 3" xfId="9808"/>
    <cellStyle name="Dane wejściowe 2 21 15 4" xfId="9809"/>
    <cellStyle name="Dane wejściowe 2 21 16" xfId="9810"/>
    <cellStyle name="Dane wejściowe 2 21 16 2" xfId="9811"/>
    <cellStyle name="Dane wejściowe 2 21 16 3" xfId="9812"/>
    <cellStyle name="Dane wejściowe 2 21 16 4" xfId="9813"/>
    <cellStyle name="Dane wejściowe 2 21 17" xfId="9814"/>
    <cellStyle name="Dane wejściowe 2 21 17 2" xfId="9815"/>
    <cellStyle name="Dane wejściowe 2 21 17 3" xfId="9816"/>
    <cellStyle name="Dane wejściowe 2 21 17 4" xfId="9817"/>
    <cellStyle name="Dane wejściowe 2 21 18" xfId="9818"/>
    <cellStyle name="Dane wejściowe 2 21 18 2" xfId="9819"/>
    <cellStyle name="Dane wejściowe 2 21 18 3" xfId="9820"/>
    <cellStyle name="Dane wejściowe 2 21 18 4" xfId="9821"/>
    <cellStyle name="Dane wejściowe 2 21 19" xfId="9822"/>
    <cellStyle name="Dane wejściowe 2 21 19 2" xfId="9823"/>
    <cellStyle name="Dane wejściowe 2 21 19 3" xfId="9824"/>
    <cellStyle name="Dane wejściowe 2 21 19 4" xfId="9825"/>
    <cellStyle name="Dane wejściowe 2 21 2" xfId="9826"/>
    <cellStyle name="Dane wejściowe 2 21 2 2" xfId="9827"/>
    <cellStyle name="Dane wejściowe 2 21 2 3" xfId="9828"/>
    <cellStyle name="Dane wejściowe 2 21 2 4" xfId="9829"/>
    <cellStyle name="Dane wejściowe 2 21 20" xfId="9830"/>
    <cellStyle name="Dane wejściowe 2 21 20 2" xfId="9831"/>
    <cellStyle name="Dane wejściowe 2 21 20 3" xfId="9832"/>
    <cellStyle name="Dane wejściowe 2 21 20 4" xfId="9833"/>
    <cellStyle name="Dane wejściowe 2 21 21" xfId="9834"/>
    <cellStyle name="Dane wejściowe 2 21 21 2" xfId="9835"/>
    <cellStyle name="Dane wejściowe 2 21 21 3" xfId="9836"/>
    <cellStyle name="Dane wejściowe 2 21 22" xfId="9837"/>
    <cellStyle name="Dane wejściowe 2 21 22 2" xfId="9838"/>
    <cellStyle name="Dane wejściowe 2 21 22 3" xfId="9839"/>
    <cellStyle name="Dane wejściowe 2 21 23" xfId="9840"/>
    <cellStyle name="Dane wejściowe 2 21 23 2" xfId="9841"/>
    <cellStyle name="Dane wejściowe 2 21 23 3" xfId="9842"/>
    <cellStyle name="Dane wejściowe 2 21 24" xfId="9843"/>
    <cellStyle name="Dane wejściowe 2 21 24 2" xfId="9844"/>
    <cellStyle name="Dane wejściowe 2 21 24 3" xfId="9845"/>
    <cellStyle name="Dane wejściowe 2 21 25" xfId="9846"/>
    <cellStyle name="Dane wejściowe 2 21 25 2" xfId="9847"/>
    <cellStyle name="Dane wejściowe 2 21 25 3" xfId="9848"/>
    <cellStyle name="Dane wejściowe 2 21 26" xfId="9849"/>
    <cellStyle name="Dane wejściowe 2 21 26 2" xfId="9850"/>
    <cellStyle name="Dane wejściowe 2 21 26 3" xfId="9851"/>
    <cellStyle name="Dane wejściowe 2 21 27" xfId="9852"/>
    <cellStyle name="Dane wejściowe 2 21 27 2" xfId="9853"/>
    <cellStyle name="Dane wejściowe 2 21 27 3" xfId="9854"/>
    <cellStyle name="Dane wejściowe 2 21 28" xfId="9855"/>
    <cellStyle name="Dane wejściowe 2 21 28 2" xfId="9856"/>
    <cellStyle name="Dane wejściowe 2 21 28 3" xfId="9857"/>
    <cellStyle name="Dane wejściowe 2 21 29" xfId="9858"/>
    <cellStyle name="Dane wejściowe 2 21 29 2" xfId="9859"/>
    <cellStyle name="Dane wejściowe 2 21 29 3" xfId="9860"/>
    <cellStyle name="Dane wejściowe 2 21 3" xfId="9861"/>
    <cellStyle name="Dane wejściowe 2 21 3 2" xfId="9862"/>
    <cellStyle name="Dane wejściowe 2 21 3 3" xfId="9863"/>
    <cellStyle name="Dane wejściowe 2 21 3 4" xfId="9864"/>
    <cellStyle name="Dane wejściowe 2 21 30" xfId="9865"/>
    <cellStyle name="Dane wejściowe 2 21 30 2" xfId="9866"/>
    <cellStyle name="Dane wejściowe 2 21 30 3" xfId="9867"/>
    <cellStyle name="Dane wejściowe 2 21 31" xfId="9868"/>
    <cellStyle name="Dane wejściowe 2 21 31 2" xfId="9869"/>
    <cellStyle name="Dane wejściowe 2 21 31 3" xfId="9870"/>
    <cellStyle name="Dane wejściowe 2 21 32" xfId="9871"/>
    <cellStyle name="Dane wejściowe 2 21 32 2" xfId="9872"/>
    <cellStyle name="Dane wejściowe 2 21 32 3" xfId="9873"/>
    <cellStyle name="Dane wejściowe 2 21 33" xfId="9874"/>
    <cellStyle name="Dane wejściowe 2 21 33 2" xfId="9875"/>
    <cellStyle name="Dane wejściowe 2 21 33 3" xfId="9876"/>
    <cellStyle name="Dane wejściowe 2 21 34" xfId="9877"/>
    <cellStyle name="Dane wejściowe 2 21 34 2" xfId="9878"/>
    <cellStyle name="Dane wejściowe 2 21 34 3" xfId="9879"/>
    <cellStyle name="Dane wejściowe 2 21 35" xfId="9880"/>
    <cellStyle name="Dane wejściowe 2 21 35 2" xfId="9881"/>
    <cellStyle name="Dane wejściowe 2 21 35 3" xfId="9882"/>
    <cellStyle name="Dane wejściowe 2 21 36" xfId="9883"/>
    <cellStyle name="Dane wejściowe 2 21 36 2" xfId="9884"/>
    <cellStyle name="Dane wejściowe 2 21 36 3" xfId="9885"/>
    <cellStyle name="Dane wejściowe 2 21 37" xfId="9886"/>
    <cellStyle name="Dane wejściowe 2 21 37 2" xfId="9887"/>
    <cellStyle name="Dane wejściowe 2 21 37 3" xfId="9888"/>
    <cellStyle name="Dane wejściowe 2 21 38" xfId="9889"/>
    <cellStyle name="Dane wejściowe 2 21 38 2" xfId="9890"/>
    <cellStyle name="Dane wejściowe 2 21 38 3" xfId="9891"/>
    <cellStyle name="Dane wejściowe 2 21 39" xfId="9892"/>
    <cellStyle name="Dane wejściowe 2 21 39 2" xfId="9893"/>
    <cellStyle name="Dane wejściowe 2 21 39 3" xfId="9894"/>
    <cellStyle name="Dane wejściowe 2 21 4" xfId="9895"/>
    <cellStyle name="Dane wejściowe 2 21 4 2" xfId="9896"/>
    <cellStyle name="Dane wejściowe 2 21 4 3" xfId="9897"/>
    <cellStyle name="Dane wejściowe 2 21 4 4" xfId="9898"/>
    <cellStyle name="Dane wejściowe 2 21 40" xfId="9899"/>
    <cellStyle name="Dane wejściowe 2 21 40 2" xfId="9900"/>
    <cellStyle name="Dane wejściowe 2 21 40 3" xfId="9901"/>
    <cellStyle name="Dane wejściowe 2 21 41" xfId="9902"/>
    <cellStyle name="Dane wejściowe 2 21 41 2" xfId="9903"/>
    <cellStyle name="Dane wejściowe 2 21 41 3" xfId="9904"/>
    <cellStyle name="Dane wejściowe 2 21 42" xfId="9905"/>
    <cellStyle name="Dane wejściowe 2 21 42 2" xfId="9906"/>
    <cellStyle name="Dane wejściowe 2 21 42 3" xfId="9907"/>
    <cellStyle name="Dane wejściowe 2 21 43" xfId="9908"/>
    <cellStyle name="Dane wejściowe 2 21 43 2" xfId="9909"/>
    <cellStyle name="Dane wejściowe 2 21 43 3" xfId="9910"/>
    <cellStyle name="Dane wejściowe 2 21 44" xfId="9911"/>
    <cellStyle name="Dane wejściowe 2 21 44 2" xfId="9912"/>
    <cellStyle name="Dane wejściowe 2 21 44 3" xfId="9913"/>
    <cellStyle name="Dane wejściowe 2 21 45" xfId="9914"/>
    <cellStyle name="Dane wejściowe 2 21 45 2" xfId="9915"/>
    <cellStyle name="Dane wejściowe 2 21 45 3" xfId="9916"/>
    <cellStyle name="Dane wejściowe 2 21 46" xfId="9917"/>
    <cellStyle name="Dane wejściowe 2 21 46 2" xfId="9918"/>
    <cellStyle name="Dane wejściowe 2 21 46 3" xfId="9919"/>
    <cellStyle name="Dane wejściowe 2 21 47" xfId="9920"/>
    <cellStyle name="Dane wejściowe 2 21 47 2" xfId="9921"/>
    <cellStyle name="Dane wejściowe 2 21 47 3" xfId="9922"/>
    <cellStyle name="Dane wejściowe 2 21 48" xfId="9923"/>
    <cellStyle name="Dane wejściowe 2 21 48 2" xfId="9924"/>
    <cellStyle name="Dane wejściowe 2 21 48 3" xfId="9925"/>
    <cellStyle name="Dane wejściowe 2 21 49" xfId="9926"/>
    <cellStyle name="Dane wejściowe 2 21 49 2" xfId="9927"/>
    <cellStyle name="Dane wejściowe 2 21 49 3" xfId="9928"/>
    <cellStyle name="Dane wejściowe 2 21 5" xfId="9929"/>
    <cellStyle name="Dane wejściowe 2 21 5 2" xfId="9930"/>
    <cellStyle name="Dane wejściowe 2 21 5 3" xfId="9931"/>
    <cellStyle name="Dane wejściowe 2 21 5 4" xfId="9932"/>
    <cellStyle name="Dane wejściowe 2 21 50" xfId="9933"/>
    <cellStyle name="Dane wejściowe 2 21 50 2" xfId="9934"/>
    <cellStyle name="Dane wejściowe 2 21 50 3" xfId="9935"/>
    <cellStyle name="Dane wejściowe 2 21 51" xfId="9936"/>
    <cellStyle name="Dane wejściowe 2 21 51 2" xfId="9937"/>
    <cellStyle name="Dane wejściowe 2 21 51 3" xfId="9938"/>
    <cellStyle name="Dane wejściowe 2 21 52" xfId="9939"/>
    <cellStyle name="Dane wejściowe 2 21 52 2" xfId="9940"/>
    <cellStyle name="Dane wejściowe 2 21 52 3" xfId="9941"/>
    <cellStyle name="Dane wejściowe 2 21 53" xfId="9942"/>
    <cellStyle name="Dane wejściowe 2 21 53 2" xfId="9943"/>
    <cellStyle name="Dane wejściowe 2 21 53 3" xfId="9944"/>
    <cellStyle name="Dane wejściowe 2 21 54" xfId="9945"/>
    <cellStyle name="Dane wejściowe 2 21 54 2" xfId="9946"/>
    <cellStyle name="Dane wejściowe 2 21 54 3" xfId="9947"/>
    <cellStyle name="Dane wejściowe 2 21 55" xfId="9948"/>
    <cellStyle name="Dane wejściowe 2 21 55 2" xfId="9949"/>
    <cellStyle name="Dane wejściowe 2 21 55 3" xfId="9950"/>
    <cellStyle name="Dane wejściowe 2 21 56" xfId="9951"/>
    <cellStyle name="Dane wejściowe 2 21 56 2" xfId="9952"/>
    <cellStyle name="Dane wejściowe 2 21 56 3" xfId="9953"/>
    <cellStyle name="Dane wejściowe 2 21 57" xfId="9954"/>
    <cellStyle name="Dane wejściowe 2 21 58" xfId="9955"/>
    <cellStyle name="Dane wejściowe 2 21 6" xfId="9956"/>
    <cellStyle name="Dane wejściowe 2 21 6 2" xfId="9957"/>
    <cellStyle name="Dane wejściowe 2 21 6 3" xfId="9958"/>
    <cellStyle name="Dane wejściowe 2 21 6 4" xfId="9959"/>
    <cellStyle name="Dane wejściowe 2 21 7" xfId="9960"/>
    <cellStyle name="Dane wejściowe 2 21 7 2" xfId="9961"/>
    <cellStyle name="Dane wejściowe 2 21 7 3" xfId="9962"/>
    <cellStyle name="Dane wejściowe 2 21 7 4" xfId="9963"/>
    <cellStyle name="Dane wejściowe 2 21 8" xfId="9964"/>
    <cellStyle name="Dane wejściowe 2 21 8 2" xfId="9965"/>
    <cellStyle name="Dane wejściowe 2 21 8 3" xfId="9966"/>
    <cellStyle name="Dane wejściowe 2 21 8 4" xfId="9967"/>
    <cellStyle name="Dane wejściowe 2 21 9" xfId="9968"/>
    <cellStyle name="Dane wejściowe 2 21 9 2" xfId="9969"/>
    <cellStyle name="Dane wejściowe 2 21 9 3" xfId="9970"/>
    <cellStyle name="Dane wejściowe 2 21 9 4" xfId="9971"/>
    <cellStyle name="Dane wejściowe 2 22" xfId="9972"/>
    <cellStyle name="Dane wejściowe 2 22 10" xfId="9973"/>
    <cellStyle name="Dane wejściowe 2 22 10 2" xfId="9974"/>
    <cellStyle name="Dane wejściowe 2 22 10 3" xfId="9975"/>
    <cellStyle name="Dane wejściowe 2 22 10 4" xfId="9976"/>
    <cellStyle name="Dane wejściowe 2 22 11" xfId="9977"/>
    <cellStyle name="Dane wejściowe 2 22 11 2" xfId="9978"/>
    <cellStyle name="Dane wejściowe 2 22 11 3" xfId="9979"/>
    <cellStyle name="Dane wejściowe 2 22 11 4" xfId="9980"/>
    <cellStyle name="Dane wejściowe 2 22 12" xfId="9981"/>
    <cellStyle name="Dane wejściowe 2 22 12 2" xfId="9982"/>
    <cellStyle name="Dane wejściowe 2 22 12 3" xfId="9983"/>
    <cellStyle name="Dane wejściowe 2 22 12 4" xfId="9984"/>
    <cellStyle name="Dane wejściowe 2 22 13" xfId="9985"/>
    <cellStyle name="Dane wejściowe 2 22 13 2" xfId="9986"/>
    <cellStyle name="Dane wejściowe 2 22 13 3" xfId="9987"/>
    <cellStyle name="Dane wejściowe 2 22 13 4" xfId="9988"/>
    <cellStyle name="Dane wejściowe 2 22 14" xfId="9989"/>
    <cellStyle name="Dane wejściowe 2 22 14 2" xfId="9990"/>
    <cellStyle name="Dane wejściowe 2 22 14 3" xfId="9991"/>
    <cellStyle name="Dane wejściowe 2 22 14 4" xfId="9992"/>
    <cellStyle name="Dane wejściowe 2 22 15" xfId="9993"/>
    <cellStyle name="Dane wejściowe 2 22 15 2" xfId="9994"/>
    <cellStyle name="Dane wejściowe 2 22 15 3" xfId="9995"/>
    <cellStyle name="Dane wejściowe 2 22 15 4" xfId="9996"/>
    <cellStyle name="Dane wejściowe 2 22 16" xfId="9997"/>
    <cellStyle name="Dane wejściowe 2 22 16 2" xfId="9998"/>
    <cellStyle name="Dane wejściowe 2 22 16 3" xfId="9999"/>
    <cellStyle name="Dane wejściowe 2 22 16 4" xfId="10000"/>
    <cellStyle name="Dane wejściowe 2 22 17" xfId="10001"/>
    <cellStyle name="Dane wejściowe 2 22 17 2" xfId="10002"/>
    <cellStyle name="Dane wejściowe 2 22 17 3" xfId="10003"/>
    <cellStyle name="Dane wejściowe 2 22 17 4" xfId="10004"/>
    <cellStyle name="Dane wejściowe 2 22 18" xfId="10005"/>
    <cellStyle name="Dane wejściowe 2 22 18 2" xfId="10006"/>
    <cellStyle name="Dane wejściowe 2 22 18 3" xfId="10007"/>
    <cellStyle name="Dane wejściowe 2 22 18 4" xfId="10008"/>
    <cellStyle name="Dane wejściowe 2 22 19" xfId="10009"/>
    <cellStyle name="Dane wejściowe 2 22 19 2" xfId="10010"/>
    <cellStyle name="Dane wejściowe 2 22 19 3" xfId="10011"/>
    <cellStyle name="Dane wejściowe 2 22 19 4" xfId="10012"/>
    <cellStyle name="Dane wejściowe 2 22 2" xfId="10013"/>
    <cellStyle name="Dane wejściowe 2 22 2 2" xfId="10014"/>
    <cellStyle name="Dane wejściowe 2 22 2 3" xfId="10015"/>
    <cellStyle name="Dane wejściowe 2 22 2 4" xfId="10016"/>
    <cellStyle name="Dane wejściowe 2 22 20" xfId="10017"/>
    <cellStyle name="Dane wejściowe 2 22 20 2" xfId="10018"/>
    <cellStyle name="Dane wejściowe 2 22 20 3" xfId="10019"/>
    <cellStyle name="Dane wejściowe 2 22 20 4" xfId="10020"/>
    <cellStyle name="Dane wejściowe 2 22 21" xfId="10021"/>
    <cellStyle name="Dane wejściowe 2 22 21 2" xfId="10022"/>
    <cellStyle name="Dane wejściowe 2 22 21 3" xfId="10023"/>
    <cellStyle name="Dane wejściowe 2 22 22" xfId="10024"/>
    <cellStyle name="Dane wejściowe 2 22 22 2" xfId="10025"/>
    <cellStyle name="Dane wejściowe 2 22 22 3" xfId="10026"/>
    <cellStyle name="Dane wejściowe 2 22 23" xfId="10027"/>
    <cellStyle name="Dane wejściowe 2 22 23 2" xfId="10028"/>
    <cellStyle name="Dane wejściowe 2 22 23 3" xfId="10029"/>
    <cellStyle name="Dane wejściowe 2 22 24" xfId="10030"/>
    <cellStyle name="Dane wejściowe 2 22 24 2" xfId="10031"/>
    <cellStyle name="Dane wejściowe 2 22 24 3" xfId="10032"/>
    <cellStyle name="Dane wejściowe 2 22 25" xfId="10033"/>
    <cellStyle name="Dane wejściowe 2 22 25 2" xfId="10034"/>
    <cellStyle name="Dane wejściowe 2 22 25 3" xfId="10035"/>
    <cellStyle name="Dane wejściowe 2 22 26" xfId="10036"/>
    <cellStyle name="Dane wejściowe 2 22 26 2" xfId="10037"/>
    <cellStyle name="Dane wejściowe 2 22 26 3" xfId="10038"/>
    <cellStyle name="Dane wejściowe 2 22 27" xfId="10039"/>
    <cellStyle name="Dane wejściowe 2 22 27 2" xfId="10040"/>
    <cellStyle name="Dane wejściowe 2 22 27 3" xfId="10041"/>
    <cellStyle name="Dane wejściowe 2 22 28" xfId="10042"/>
    <cellStyle name="Dane wejściowe 2 22 28 2" xfId="10043"/>
    <cellStyle name="Dane wejściowe 2 22 28 3" xfId="10044"/>
    <cellStyle name="Dane wejściowe 2 22 29" xfId="10045"/>
    <cellStyle name="Dane wejściowe 2 22 29 2" xfId="10046"/>
    <cellStyle name="Dane wejściowe 2 22 29 3" xfId="10047"/>
    <cellStyle name="Dane wejściowe 2 22 3" xfId="10048"/>
    <cellStyle name="Dane wejściowe 2 22 3 2" xfId="10049"/>
    <cellStyle name="Dane wejściowe 2 22 3 3" xfId="10050"/>
    <cellStyle name="Dane wejściowe 2 22 3 4" xfId="10051"/>
    <cellStyle name="Dane wejściowe 2 22 30" xfId="10052"/>
    <cellStyle name="Dane wejściowe 2 22 30 2" xfId="10053"/>
    <cellStyle name="Dane wejściowe 2 22 30 3" xfId="10054"/>
    <cellStyle name="Dane wejściowe 2 22 31" xfId="10055"/>
    <cellStyle name="Dane wejściowe 2 22 31 2" xfId="10056"/>
    <cellStyle name="Dane wejściowe 2 22 31 3" xfId="10057"/>
    <cellStyle name="Dane wejściowe 2 22 32" xfId="10058"/>
    <cellStyle name="Dane wejściowe 2 22 32 2" xfId="10059"/>
    <cellStyle name="Dane wejściowe 2 22 32 3" xfId="10060"/>
    <cellStyle name="Dane wejściowe 2 22 33" xfId="10061"/>
    <cellStyle name="Dane wejściowe 2 22 33 2" xfId="10062"/>
    <cellStyle name="Dane wejściowe 2 22 33 3" xfId="10063"/>
    <cellStyle name="Dane wejściowe 2 22 34" xfId="10064"/>
    <cellStyle name="Dane wejściowe 2 22 34 2" xfId="10065"/>
    <cellStyle name="Dane wejściowe 2 22 34 3" xfId="10066"/>
    <cellStyle name="Dane wejściowe 2 22 35" xfId="10067"/>
    <cellStyle name="Dane wejściowe 2 22 35 2" xfId="10068"/>
    <cellStyle name="Dane wejściowe 2 22 35 3" xfId="10069"/>
    <cellStyle name="Dane wejściowe 2 22 36" xfId="10070"/>
    <cellStyle name="Dane wejściowe 2 22 36 2" xfId="10071"/>
    <cellStyle name="Dane wejściowe 2 22 36 3" xfId="10072"/>
    <cellStyle name="Dane wejściowe 2 22 37" xfId="10073"/>
    <cellStyle name="Dane wejściowe 2 22 37 2" xfId="10074"/>
    <cellStyle name="Dane wejściowe 2 22 37 3" xfId="10075"/>
    <cellStyle name="Dane wejściowe 2 22 38" xfId="10076"/>
    <cellStyle name="Dane wejściowe 2 22 38 2" xfId="10077"/>
    <cellStyle name="Dane wejściowe 2 22 38 3" xfId="10078"/>
    <cellStyle name="Dane wejściowe 2 22 39" xfId="10079"/>
    <cellStyle name="Dane wejściowe 2 22 39 2" xfId="10080"/>
    <cellStyle name="Dane wejściowe 2 22 39 3" xfId="10081"/>
    <cellStyle name="Dane wejściowe 2 22 4" xfId="10082"/>
    <cellStyle name="Dane wejściowe 2 22 4 2" xfId="10083"/>
    <cellStyle name="Dane wejściowe 2 22 4 3" xfId="10084"/>
    <cellStyle name="Dane wejściowe 2 22 4 4" xfId="10085"/>
    <cellStyle name="Dane wejściowe 2 22 40" xfId="10086"/>
    <cellStyle name="Dane wejściowe 2 22 40 2" xfId="10087"/>
    <cellStyle name="Dane wejściowe 2 22 40 3" xfId="10088"/>
    <cellStyle name="Dane wejściowe 2 22 41" xfId="10089"/>
    <cellStyle name="Dane wejściowe 2 22 41 2" xfId="10090"/>
    <cellStyle name="Dane wejściowe 2 22 41 3" xfId="10091"/>
    <cellStyle name="Dane wejściowe 2 22 42" xfId="10092"/>
    <cellStyle name="Dane wejściowe 2 22 42 2" xfId="10093"/>
    <cellStyle name="Dane wejściowe 2 22 42 3" xfId="10094"/>
    <cellStyle name="Dane wejściowe 2 22 43" xfId="10095"/>
    <cellStyle name="Dane wejściowe 2 22 43 2" xfId="10096"/>
    <cellStyle name="Dane wejściowe 2 22 43 3" xfId="10097"/>
    <cellStyle name="Dane wejściowe 2 22 44" xfId="10098"/>
    <cellStyle name="Dane wejściowe 2 22 44 2" xfId="10099"/>
    <cellStyle name="Dane wejściowe 2 22 44 3" xfId="10100"/>
    <cellStyle name="Dane wejściowe 2 22 45" xfId="10101"/>
    <cellStyle name="Dane wejściowe 2 22 45 2" xfId="10102"/>
    <cellStyle name="Dane wejściowe 2 22 45 3" xfId="10103"/>
    <cellStyle name="Dane wejściowe 2 22 46" xfId="10104"/>
    <cellStyle name="Dane wejściowe 2 22 46 2" xfId="10105"/>
    <cellStyle name="Dane wejściowe 2 22 46 3" xfId="10106"/>
    <cellStyle name="Dane wejściowe 2 22 47" xfId="10107"/>
    <cellStyle name="Dane wejściowe 2 22 47 2" xfId="10108"/>
    <cellStyle name="Dane wejściowe 2 22 47 3" xfId="10109"/>
    <cellStyle name="Dane wejściowe 2 22 48" xfId="10110"/>
    <cellStyle name="Dane wejściowe 2 22 48 2" xfId="10111"/>
    <cellStyle name="Dane wejściowe 2 22 48 3" xfId="10112"/>
    <cellStyle name="Dane wejściowe 2 22 49" xfId="10113"/>
    <cellStyle name="Dane wejściowe 2 22 49 2" xfId="10114"/>
    <cellStyle name="Dane wejściowe 2 22 49 3" xfId="10115"/>
    <cellStyle name="Dane wejściowe 2 22 5" xfId="10116"/>
    <cellStyle name="Dane wejściowe 2 22 5 2" xfId="10117"/>
    <cellStyle name="Dane wejściowe 2 22 5 3" xfId="10118"/>
    <cellStyle name="Dane wejściowe 2 22 5 4" xfId="10119"/>
    <cellStyle name="Dane wejściowe 2 22 50" xfId="10120"/>
    <cellStyle name="Dane wejściowe 2 22 50 2" xfId="10121"/>
    <cellStyle name="Dane wejściowe 2 22 50 3" xfId="10122"/>
    <cellStyle name="Dane wejściowe 2 22 51" xfId="10123"/>
    <cellStyle name="Dane wejściowe 2 22 51 2" xfId="10124"/>
    <cellStyle name="Dane wejściowe 2 22 51 3" xfId="10125"/>
    <cellStyle name="Dane wejściowe 2 22 52" xfId="10126"/>
    <cellStyle name="Dane wejściowe 2 22 52 2" xfId="10127"/>
    <cellStyle name="Dane wejściowe 2 22 52 3" xfId="10128"/>
    <cellStyle name="Dane wejściowe 2 22 53" xfId="10129"/>
    <cellStyle name="Dane wejściowe 2 22 53 2" xfId="10130"/>
    <cellStyle name="Dane wejściowe 2 22 53 3" xfId="10131"/>
    <cellStyle name="Dane wejściowe 2 22 54" xfId="10132"/>
    <cellStyle name="Dane wejściowe 2 22 54 2" xfId="10133"/>
    <cellStyle name="Dane wejściowe 2 22 54 3" xfId="10134"/>
    <cellStyle name="Dane wejściowe 2 22 55" xfId="10135"/>
    <cellStyle name="Dane wejściowe 2 22 55 2" xfId="10136"/>
    <cellStyle name="Dane wejściowe 2 22 55 3" xfId="10137"/>
    <cellStyle name="Dane wejściowe 2 22 56" xfId="10138"/>
    <cellStyle name="Dane wejściowe 2 22 56 2" xfId="10139"/>
    <cellStyle name="Dane wejściowe 2 22 56 3" xfId="10140"/>
    <cellStyle name="Dane wejściowe 2 22 57" xfId="10141"/>
    <cellStyle name="Dane wejściowe 2 22 58" xfId="10142"/>
    <cellStyle name="Dane wejściowe 2 22 6" xfId="10143"/>
    <cellStyle name="Dane wejściowe 2 22 6 2" xfId="10144"/>
    <cellStyle name="Dane wejściowe 2 22 6 3" xfId="10145"/>
    <cellStyle name="Dane wejściowe 2 22 6 4" xfId="10146"/>
    <cellStyle name="Dane wejściowe 2 22 7" xfId="10147"/>
    <cellStyle name="Dane wejściowe 2 22 7 2" xfId="10148"/>
    <cellStyle name="Dane wejściowe 2 22 7 3" xfId="10149"/>
    <cellStyle name="Dane wejściowe 2 22 7 4" xfId="10150"/>
    <cellStyle name="Dane wejściowe 2 22 8" xfId="10151"/>
    <cellStyle name="Dane wejściowe 2 22 8 2" xfId="10152"/>
    <cellStyle name="Dane wejściowe 2 22 8 3" xfId="10153"/>
    <cellStyle name="Dane wejściowe 2 22 8 4" xfId="10154"/>
    <cellStyle name="Dane wejściowe 2 22 9" xfId="10155"/>
    <cellStyle name="Dane wejściowe 2 22 9 2" xfId="10156"/>
    <cellStyle name="Dane wejściowe 2 22 9 3" xfId="10157"/>
    <cellStyle name="Dane wejściowe 2 22 9 4" xfId="10158"/>
    <cellStyle name="Dane wejściowe 2 23" xfId="10159"/>
    <cellStyle name="Dane wejściowe 2 23 10" xfId="10160"/>
    <cellStyle name="Dane wejściowe 2 23 10 2" xfId="10161"/>
    <cellStyle name="Dane wejściowe 2 23 10 3" xfId="10162"/>
    <cellStyle name="Dane wejściowe 2 23 10 4" xfId="10163"/>
    <cellStyle name="Dane wejściowe 2 23 11" xfId="10164"/>
    <cellStyle name="Dane wejściowe 2 23 11 2" xfId="10165"/>
    <cellStyle name="Dane wejściowe 2 23 11 3" xfId="10166"/>
    <cellStyle name="Dane wejściowe 2 23 11 4" xfId="10167"/>
    <cellStyle name="Dane wejściowe 2 23 12" xfId="10168"/>
    <cellStyle name="Dane wejściowe 2 23 12 2" xfId="10169"/>
    <cellStyle name="Dane wejściowe 2 23 12 3" xfId="10170"/>
    <cellStyle name="Dane wejściowe 2 23 12 4" xfId="10171"/>
    <cellStyle name="Dane wejściowe 2 23 13" xfId="10172"/>
    <cellStyle name="Dane wejściowe 2 23 13 2" xfId="10173"/>
    <cellStyle name="Dane wejściowe 2 23 13 3" xfId="10174"/>
    <cellStyle name="Dane wejściowe 2 23 13 4" xfId="10175"/>
    <cellStyle name="Dane wejściowe 2 23 14" xfId="10176"/>
    <cellStyle name="Dane wejściowe 2 23 14 2" xfId="10177"/>
    <cellStyle name="Dane wejściowe 2 23 14 3" xfId="10178"/>
    <cellStyle name="Dane wejściowe 2 23 14 4" xfId="10179"/>
    <cellStyle name="Dane wejściowe 2 23 15" xfId="10180"/>
    <cellStyle name="Dane wejściowe 2 23 15 2" xfId="10181"/>
    <cellStyle name="Dane wejściowe 2 23 15 3" xfId="10182"/>
    <cellStyle name="Dane wejściowe 2 23 15 4" xfId="10183"/>
    <cellStyle name="Dane wejściowe 2 23 16" xfId="10184"/>
    <cellStyle name="Dane wejściowe 2 23 16 2" xfId="10185"/>
    <cellStyle name="Dane wejściowe 2 23 16 3" xfId="10186"/>
    <cellStyle name="Dane wejściowe 2 23 16 4" xfId="10187"/>
    <cellStyle name="Dane wejściowe 2 23 17" xfId="10188"/>
    <cellStyle name="Dane wejściowe 2 23 17 2" xfId="10189"/>
    <cellStyle name="Dane wejściowe 2 23 17 3" xfId="10190"/>
    <cellStyle name="Dane wejściowe 2 23 17 4" xfId="10191"/>
    <cellStyle name="Dane wejściowe 2 23 18" xfId="10192"/>
    <cellStyle name="Dane wejściowe 2 23 18 2" xfId="10193"/>
    <cellStyle name="Dane wejściowe 2 23 18 3" xfId="10194"/>
    <cellStyle name="Dane wejściowe 2 23 18 4" xfId="10195"/>
    <cellStyle name="Dane wejściowe 2 23 19" xfId="10196"/>
    <cellStyle name="Dane wejściowe 2 23 19 2" xfId="10197"/>
    <cellStyle name="Dane wejściowe 2 23 19 3" xfId="10198"/>
    <cellStyle name="Dane wejściowe 2 23 19 4" xfId="10199"/>
    <cellStyle name="Dane wejściowe 2 23 2" xfId="10200"/>
    <cellStyle name="Dane wejściowe 2 23 2 2" xfId="10201"/>
    <cellStyle name="Dane wejściowe 2 23 2 3" xfId="10202"/>
    <cellStyle name="Dane wejściowe 2 23 2 4" xfId="10203"/>
    <cellStyle name="Dane wejściowe 2 23 20" xfId="10204"/>
    <cellStyle name="Dane wejściowe 2 23 20 2" xfId="10205"/>
    <cellStyle name="Dane wejściowe 2 23 20 3" xfId="10206"/>
    <cellStyle name="Dane wejściowe 2 23 20 4" xfId="10207"/>
    <cellStyle name="Dane wejściowe 2 23 21" xfId="10208"/>
    <cellStyle name="Dane wejściowe 2 23 21 2" xfId="10209"/>
    <cellStyle name="Dane wejściowe 2 23 21 3" xfId="10210"/>
    <cellStyle name="Dane wejściowe 2 23 22" xfId="10211"/>
    <cellStyle name="Dane wejściowe 2 23 22 2" xfId="10212"/>
    <cellStyle name="Dane wejściowe 2 23 22 3" xfId="10213"/>
    <cellStyle name="Dane wejściowe 2 23 23" xfId="10214"/>
    <cellStyle name="Dane wejściowe 2 23 23 2" xfId="10215"/>
    <cellStyle name="Dane wejściowe 2 23 23 3" xfId="10216"/>
    <cellStyle name="Dane wejściowe 2 23 24" xfId="10217"/>
    <cellStyle name="Dane wejściowe 2 23 24 2" xfId="10218"/>
    <cellStyle name="Dane wejściowe 2 23 24 3" xfId="10219"/>
    <cellStyle name="Dane wejściowe 2 23 25" xfId="10220"/>
    <cellStyle name="Dane wejściowe 2 23 25 2" xfId="10221"/>
    <cellStyle name="Dane wejściowe 2 23 25 3" xfId="10222"/>
    <cellStyle name="Dane wejściowe 2 23 26" xfId="10223"/>
    <cellStyle name="Dane wejściowe 2 23 26 2" xfId="10224"/>
    <cellStyle name="Dane wejściowe 2 23 26 3" xfId="10225"/>
    <cellStyle name="Dane wejściowe 2 23 27" xfId="10226"/>
    <cellStyle name="Dane wejściowe 2 23 27 2" xfId="10227"/>
    <cellStyle name="Dane wejściowe 2 23 27 3" xfId="10228"/>
    <cellStyle name="Dane wejściowe 2 23 28" xfId="10229"/>
    <cellStyle name="Dane wejściowe 2 23 28 2" xfId="10230"/>
    <cellStyle name="Dane wejściowe 2 23 28 3" xfId="10231"/>
    <cellStyle name="Dane wejściowe 2 23 29" xfId="10232"/>
    <cellStyle name="Dane wejściowe 2 23 29 2" xfId="10233"/>
    <cellStyle name="Dane wejściowe 2 23 29 3" xfId="10234"/>
    <cellStyle name="Dane wejściowe 2 23 3" xfId="10235"/>
    <cellStyle name="Dane wejściowe 2 23 3 2" xfId="10236"/>
    <cellStyle name="Dane wejściowe 2 23 3 3" xfId="10237"/>
    <cellStyle name="Dane wejściowe 2 23 3 4" xfId="10238"/>
    <cellStyle name="Dane wejściowe 2 23 30" xfId="10239"/>
    <cellStyle name="Dane wejściowe 2 23 30 2" xfId="10240"/>
    <cellStyle name="Dane wejściowe 2 23 30 3" xfId="10241"/>
    <cellStyle name="Dane wejściowe 2 23 31" xfId="10242"/>
    <cellStyle name="Dane wejściowe 2 23 31 2" xfId="10243"/>
    <cellStyle name="Dane wejściowe 2 23 31 3" xfId="10244"/>
    <cellStyle name="Dane wejściowe 2 23 32" xfId="10245"/>
    <cellStyle name="Dane wejściowe 2 23 32 2" xfId="10246"/>
    <cellStyle name="Dane wejściowe 2 23 32 3" xfId="10247"/>
    <cellStyle name="Dane wejściowe 2 23 33" xfId="10248"/>
    <cellStyle name="Dane wejściowe 2 23 33 2" xfId="10249"/>
    <cellStyle name="Dane wejściowe 2 23 33 3" xfId="10250"/>
    <cellStyle name="Dane wejściowe 2 23 34" xfId="10251"/>
    <cellStyle name="Dane wejściowe 2 23 34 2" xfId="10252"/>
    <cellStyle name="Dane wejściowe 2 23 34 3" xfId="10253"/>
    <cellStyle name="Dane wejściowe 2 23 35" xfId="10254"/>
    <cellStyle name="Dane wejściowe 2 23 35 2" xfId="10255"/>
    <cellStyle name="Dane wejściowe 2 23 35 3" xfId="10256"/>
    <cellStyle name="Dane wejściowe 2 23 36" xfId="10257"/>
    <cellStyle name="Dane wejściowe 2 23 36 2" xfId="10258"/>
    <cellStyle name="Dane wejściowe 2 23 36 3" xfId="10259"/>
    <cellStyle name="Dane wejściowe 2 23 37" xfId="10260"/>
    <cellStyle name="Dane wejściowe 2 23 37 2" xfId="10261"/>
    <cellStyle name="Dane wejściowe 2 23 37 3" xfId="10262"/>
    <cellStyle name="Dane wejściowe 2 23 38" xfId="10263"/>
    <cellStyle name="Dane wejściowe 2 23 38 2" xfId="10264"/>
    <cellStyle name="Dane wejściowe 2 23 38 3" xfId="10265"/>
    <cellStyle name="Dane wejściowe 2 23 39" xfId="10266"/>
    <cellStyle name="Dane wejściowe 2 23 39 2" xfId="10267"/>
    <cellStyle name="Dane wejściowe 2 23 39 3" xfId="10268"/>
    <cellStyle name="Dane wejściowe 2 23 4" xfId="10269"/>
    <cellStyle name="Dane wejściowe 2 23 4 2" xfId="10270"/>
    <cellStyle name="Dane wejściowe 2 23 4 3" xfId="10271"/>
    <cellStyle name="Dane wejściowe 2 23 4 4" xfId="10272"/>
    <cellStyle name="Dane wejściowe 2 23 40" xfId="10273"/>
    <cellStyle name="Dane wejściowe 2 23 40 2" xfId="10274"/>
    <cellStyle name="Dane wejściowe 2 23 40 3" xfId="10275"/>
    <cellStyle name="Dane wejściowe 2 23 41" xfId="10276"/>
    <cellStyle name="Dane wejściowe 2 23 41 2" xfId="10277"/>
    <cellStyle name="Dane wejściowe 2 23 41 3" xfId="10278"/>
    <cellStyle name="Dane wejściowe 2 23 42" xfId="10279"/>
    <cellStyle name="Dane wejściowe 2 23 42 2" xfId="10280"/>
    <cellStyle name="Dane wejściowe 2 23 42 3" xfId="10281"/>
    <cellStyle name="Dane wejściowe 2 23 43" xfId="10282"/>
    <cellStyle name="Dane wejściowe 2 23 43 2" xfId="10283"/>
    <cellStyle name="Dane wejściowe 2 23 43 3" xfId="10284"/>
    <cellStyle name="Dane wejściowe 2 23 44" xfId="10285"/>
    <cellStyle name="Dane wejściowe 2 23 44 2" xfId="10286"/>
    <cellStyle name="Dane wejściowe 2 23 44 3" xfId="10287"/>
    <cellStyle name="Dane wejściowe 2 23 45" xfId="10288"/>
    <cellStyle name="Dane wejściowe 2 23 45 2" xfId="10289"/>
    <cellStyle name="Dane wejściowe 2 23 45 3" xfId="10290"/>
    <cellStyle name="Dane wejściowe 2 23 46" xfId="10291"/>
    <cellStyle name="Dane wejściowe 2 23 46 2" xfId="10292"/>
    <cellStyle name="Dane wejściowe 2 23 46 3" xfId="10293"/>
    <cellStyle name="Dane wejściowe 2 23 47" xfId="10294"/>
    <cellStyle name="Dane wejściowe 2 23 47 2" xfId="10295"/>
    <cellStyle name="Dane wejściowe 2 23 47 3" xfId="10296"/>
    <cellStyle name="Dane wejściowe 2 23 48" xfId="10297"/>
    <cellStyle name="Dane wejściowe 2 23 48 2" xfId="10298"/>
    <cellStyle name="Dane wejściowe 2 23 48 3" xfId="10299"/>
    <cellStyle name="Dane wejściowe 2 23 49" xfId="10300"/>
    <cellStyle name="Dane wejściowe 2 23 49 2" xfId="10301"/>
    <cellStyle name="Dane wejściowe 2 23 49 3" xfId="10302"/>
    <cellStyle name="Dane wejściowe 2 23 5" xfId="10303"/>
    <cellStyle name="Dane wejściowe 2 23 5 2" xfId="10304"/>
    <cellStyle name="Dane wejściowe 2 23 5 3" xfId="10305"/>
    <cellStyle name="Dane wejściowe 2 23 5 4" xfId="10306"/>
    <cellStyle name="Dane wejściowe 2 23 50" xfId="10307"/>
    <cellStyle name="Dane wejściowe 2 23 50 2" xfId="10308"/>
    <cellStyle name="Dane wejściowe 2 23 50 3" xfId="10309"/>
    <cellStyle name="Dane wejściowe 2 23 51" xfId="10310"/>
    <cellStyle name="Dane wejściowe 2 23 51 2" xfId="10311"/>
    <cellStyle name="Dane wejściowe 2 23 51 3" xfId="10312"/>
    <cellStyle name="Dane wejściowe 2 23 52" xfId="10313"/>
    <cellStyle name="Dane wejściowe 2 23 52 2" xfId="10314"/>
    <cellStyle name="Dane wejściowe 2 23 52 3" xfId="10315"/>
    <cellStyle name="Dane wejściowe 2 23 53" xfId="10316"/>
    <cellStyle name="Dane wejściowe 2 23 53 2" xfId="10317"/>
    <cellStyle name="Dane wejściowe 2 23 53 3" xfId="10318"/>
    <cellStyle name="Dane wejściowe 2 23 54" xfId="10319"/>
    <cellStyle name="Dane wejściowe 2 23 54 2" xfId="10320"/>
    <cellStyle name="Dane wejściowe 2 23 54 3" xfId="10321"/>
    <cellStyle name="Dane wejściowe 2 23 55" xfId="10322"/>
    <cellStyle name="Dane wejściowe 2 23 55 2" xfId="10323"/>
    <cellStyle name="Dane wejściowe 2 23 55 3" xfId="10324"/>
    <cellStyle name="Dane wejściowe 2 23 56" xfId="10325"/>
    <cellStyle name="Dane wejściowe 2 23 56 2" xfId="10326"/>
    <cellStyle name="Dane wejściowe 2 23 56 3" xfId="10327"/>
    <cellStyle name="Dane wejściowe 2 23 57" xfId="10328"/>
    <cellStyle name="Dane wejściowe 2 23 58" xfId="10329"/>
    <cellStyle name="Dane wejściowe 2 23 6" xfId="10330"/>
    <cellStyle name="Dane wejściowe 2 23 6 2" xfId="10331"/>
    <cellStyle name="Dane wejściowe 2 23 6 3" xfId="10332"/>
    <cellStyle name="Dane wejściowe 2 23 6 4" xfId="10333"/>
    <cellStyle name="Dane wejściowe 2 23 7" xfId="10334"/>
    <cellStyle name="Dane wejściowe 2 23 7 2" xfId="10335"/>
    <cellStyle name="Dane wejściowe 2 23 7 3" xfId="10336"/>
    <cellStyle name="Dane wejściowe 2 23 7 4" xfId="10337"/>
    <cellStyle name="Dane wejściowe 2 23 8" xfId="10338"/>
    <cellStyle name="Dane wejściowe 2 23 8 2" xfId="10339"/>
    <cellStyle name="Dane wejściowe 2 23 8 3" xfId="10340"/>
    <cellStyle name="Dane wejściowe 2 23 8 4" xfId="10341"/>
    <cellStyle name="Dane wejściowe 2 23 9" xfId="10342"/>
    <cellStyle name="Dane wejściowe 2 23 9 2" xfId="10343"/>
    <cellStyle name="Dane wejściowe 2 23 9 3" xfId="10344"/>
    <cellStyle name="Dane wejściowe 2 23 9 4" xfId="10345"/>
    <cellStyle name="Dane wejściowe 2 24" xfId="10346"/>
    <cellStyle name="Dane wejściowe 2 24 10" xfId="10347"/>
    <cellStyle name="Dane wejściowe 2 24 10 2" xfId="10348"/>
    <cellStyle name="Dane wejściowe 2 24 10 3" xfId="10349"/>
    <cellStyle name="Dane wejściowe 2 24 10 4" xfId="10350"/>
    <cellStyle name="Dane wejściowe 2 24 11" xfId="10351"/>
    <cellStyle name="Dane wejściowe 2 24 11 2" xfId="10352"/>
    <cellStyle name="Dane wejściowe 2 24 11 3" xfId="10353"/>
    <cellStyle name="Dane wejściowe 2 24 11 4" xfId="10354"/>
    <cellStyle name="Dane wejściowe 2 24 12" xfId="10355"/>
    <cellStyle name="Dane wejściowe 2 24 12 2" xfId="10356"/>
    <cellStyle name="Dane wejściowe 2 24 12 3" xfId="10357"/>
    <cellStyle name="Dane wejściowe 2 24 12 4" xfId="10358"/>
    <cellStyle name="Dane wejściowe 2 24 13" xfId="10359"/>
    <cellStyle name="Dane wejściowe 2 24 13 2" xfId="10360"/>
    <cellStyle name="Dane wejściowe 2 24 13 3" xfId="10361"/>
    <cellStyle name="Dane wejściowe 2 24 13 4" xfId="10362"/>
    <cellStyle name="Dane wejściowe 2 24 14" xfId="10363"/>
    <cellStyle name="Dane wejściowe 2 24 14 2" xfId="10364"/>
    <cellStyle name="Dane wejściowe 2 24 14 3" xfId="10365"/>
    <cellStyle name="Dane wejściowe 2 24 14 4" xfId="10366"/>
    <cellStyle name="Dane wejściowe 2 24 15" xfId="10367"/>
    <cellStyle name="Dane wejściowe 2 24 15 2" xfId="10368"/>
    <cellStyle name="Dane wejściowe 2 24 15 3" xfId="10369"/>
    <cellStyle name="Dane wejściowe 2 24 15 4" xfId="10370"/>
    <cellStyle name="Dane wejściowe 2 24 16" xfId="10371"/>
    <cellStyle name="Dane wejściowe 2 24 16 2" xfId="10372"/>
    <cellStyle name="Dane wejściowe 2 24 16 3" xfId="10373"/>
    <cellStyle name="Dane wejściowe 2 24 16 4" xfId="10374"/>
    <cellStyle name="Dane wejściowe 2 24 17" xfId="10375"/>
    <cellStyle name="Dane wejściowe 2 24 17 2" xfId="10376"/>
    <cellStyle name="Dane wejściowe 2 24 17 3" xfId="10377"/>
    <cellStyle name="Dane wejściowe 2 24 17 4" xfId="10378"/>
    <cellStyle name="Dane wejściowe 2 24 18" xfId="10379"/>
    <cellStyle name="Dane wejściowe 2 24 18 2" xfId="10380"/>
    <cellStyle name="Dane wejściowe 2 24 18 3" xfId="10381"/>
    <cellStyle name="Dane wejściowe 2 24 18 4" xfId="10382"/>
    <cellStyle name="Dane wejściowe 2 24 19" xfId="10383"/>
    <cellStyle name="Dane wejściowe 2 24 19 2" xfId="10384"/>
    <cellStyle name="Dane wejściowe 2 24 19 3" xfId="10385"/>
    <cellStyle name="Dane wejściowe 2 24 19 4" xfId="10386"/>
    <cellStyle name="Dane wejściowe 2 24 2" xfId="10387"/>
    <cellStyle name="Dane wejściowe 2 24 2 2" xfId="10388"/>
    <cellStyle name="Dane wejściowe 2 24 2 3" xfId="10389"/>
    <cellStyle name="Dane wejściowe 2 24 2 4" xfId="10390"/>
    <cellStyle name="Dane wejściowe 2 24 20" xfId="10391"/>
    <cellStyle name="Dane wejściowe 2 24 20 2" xfId="10392"/>
    <cellStyle name="Dane wejściowe 2 24 20 3" xfId="10393"/>
    <cellStyle name="Dane wejściowe 2 24 20 4" xfId="10394"/>
    <cellStyle name="Dane wejściowe 2 24 21" xfId="10395"/>
    <cellStyle name="Dane wejściowe 2 24 21 2" xfId="10396"/>
    <cellStyle name="Dane wejściowe 2 24 21 3" xfId="10397"/>
    <cellStyle name="Dane wejściowe 2 24 22" xfId="10398"/>
    <cellStyle name="Dane wejściowe 2 24 22 2" xfId="10399"/>
    <cellStyle name="Dane wejściowe 2 24 22 3" xfId="10400"/>
    <cellStyle name="Dane wejściowe 2 24 23" xfId="10401"/>
    <cellStyle name="Dane wejściowe 2 24 23 2" xfId="10402"/>
    <cellStyle name="Dane wejściowe 2 24 23 3" xfId="10403"/>
    <cellStyle name="Dane wejściowe 2 24 24" xfId="10404"/>
    <cellStyle name="Dane wejściowe 2 24 24 2" xfId="10405"/>
    <cellStyle name="Dane wejściowe 2 24 24 3" xfId="10406"/>
    <cellStyle name="Dane wejściowe 2 24 25" xfId="10407"/>
    <cellStyle name="Dane wejściowe 2 24 25 2" xfId="10408"/>
    <cellStyle name="Dane wejściowe 2 24 25 3" xfId="10409"/>
    <cellStyle name="Dane wejściowe 2 24 26" xfId="10410"/>
    <cellStyle name="Dane wejściowe 2 24 26 2" xfId="10411"/>
    <cellStyle name="Dane wejściowe 2 24 26 3" xfId="10412"/>
    <cellStyle name="Dane wejściowe 2 24 27" xfId="10413"/>
    <cellStyle name="Dane wejściowe 2 24 27 2" xfId="10414"/>
    <cellStyle name="Dane wejściowe 2 24 27 3" xfId="10415"/>
    <cellStyle name="Dane wejściowe 2 24 28" xfId="10416"/>
    <cellStyle name="Dane wejściowe 2 24 28 2" xfId="10417"/>
    <cellStyle name="Dane wejściowe 2 24 28 3" xfId="10418"/>
    <cellStyle name="Dane wejściowe 2 24 29" xfId="10419"/>
    <cellStyle name="Dane wejściowe 2 24 29 2" xfId="10420"/>
    <cellStyle name="Dane wejściowe 2 24 29 3" xfId="10421"/>
    <cellStyle name="Dane wejściowe 2 24 3" xfId="10422"/>
    <cellStyle name="Dane wejściowe 2 24 3 2" xfId="10423"/>
    <cellStyle name="Dane wejściowe 2 24 3 3" xfId="10424"/>
    <cellStyle name="Dane wejściowe 2 24 3 4" xfId="10425"/>
    <cellStyle name="Dane wejściowe 2 24 30" xfId="10426"/>
    <cellStyle name="Dane wejściowe 2 24 30 2" xfId="10427"/>
    <cellStyle name="Dane wejściowe 2 24 30 3" xfId="10428"/>
    <cellStyle name="Dane wejściowe 2 24 31" xfId="10429"/>
    <cellStyle name="Dane wejściowe 2 24 31 2" xfId="10430"/>
    <cellStyle name="Dane wejściowe 2 24 31 3" xfId="10431"/>
    <cellStyle name="Dane wejściowe 2 24 32" xfId="10432"/>
    <cellStyle name="Dane wejściowe 2 24 32 2" xfId="10433"/>
    <cellStyle name="Dane wejściowe 2 24 32 3" xfId="10434"/>
    <cellStyle name="Dane wejściowe 2 24 33" xfId="10435"/>
    <cellStyle name="Dane wejściowe 2 24 33 2" xfId="10436"/>
    <cellStyle name="Dane wejściowe 2 24 33 3" xfId="10437"/>
    <cellStyle name="Dane wejściowe 2 24 34" xfId="10438"/>
    <cellStyle name="Dane wejściowe 2 24 34 2" xfId="10439"/>
    <cellStyle name="Dane wejściowe 2 24 34 3" xfId="10440"/>
    <cellStyle name="Dane wejściowe 2 24 35" xfId="10441"/>
    <cellStyle name="Dane wejściowe 2 24 35 2" xfId="10442"/>
    <cellStyle name="Dane wejściowe 2 24 35 3" xfId="10443"/>
    <cellStyle name="Dane wejściowe 2 24 36" xfId="10444"/>
    <cellStyle name="Dane wejściowe 2 24 36 2" xfId="10445"/>
    <cellStyle name="Dane wejściowe 2 24 36 3" xfId="10446"/>
    <cellStyle name="Dane wejściowe 2 24 37" xfId="10447"/>
    <cellStyle name="Dane wejściowe 2 24 37 2" xfId="10448"/>
    <cellStyle name="Dane wejściowe 2 24 37 3" xfId="10449"/>
    <cellStyle name="Dane wejściowe 2 24 38" xfId="10450"/>
    <cellStyle name="Dane wejściowe 2 24 38 2" xfId="10451"/>
    <cellStyle name="Dane wejściowe 2 24 38 3" xfId="10452"/>
    <cellStyle name="Dane wejściowe 2 24 39" xfId="10453"/>
    <cellStyle name="Dane wejściowe 2 24 39 2" xfId="10454"/>
    <cellStyle name="Dane wejściowe 2 24 39 3" xfId="10455"/>
    <cellStyle name="Dane wejściowe 2 24 4" xfId="10456"/>
    <cellStyle name="Dane wejściowe 2 24 4 2" xfId="10457"/>
    <cellStyle name="Dane wejściowe 2 24 4 3" xfId="10458"/>
    <cellStyle name="Dane wejściowe 2 24 4 4" xfId="10459"/>
    <cellStyle name="Dane wejściowe 2 24 40" xfId="10460"/>
    <cellStyle name="Dane wejściowe 2 24 40 2" xfId="10461"/>
    <cellStyle name="Dane wejściowe 2 24 40 3" xfId="10462"/>
    <cellStyle name="Dane wejściowe 2 24 41" xfId="10463"/>
    <cellStyle name="Dane wejściowe 2 24 41 2" xfId="10464"/>
    <cellStyle name="Dane wejściowe 2 24 41 3" xfId="10465"/>
    <cellStyle name="Dane wejściowe 2 24 42" xfId="10466"/>
    <cellStyle name="Dane wejściowe 2 24 42 2" xfId="10467"/>
    <cellStyle name="Dane wejściowe 2 24 42 3" xfId="10468"/>
    <cellStyle name="Dane wejściowe 2 24 43" xfId="10469"/>
    <cellStyle name="Dane wejściowe 2 24 43 2" xfId="10470"/>
    <cellStyle name="Dane wejściowe 2 24 43 3" xfId="10471"/>
    <cellStyle name="Dane wejściowe 2 24 44" xfId="10472"/>
    <cellStyle name="Dane wejściowe 2 24 44 2" xfId="10473"/>
    <cellStyle name="Dane wejściowe 2 24 44 3" xfId="10474"/>
    <cellStyle name="Dane wejściowe 2 24 45" xfId="10475"/>
    <cellStyle name="Dane wejściowe 2 24 45 2" xfId="10476"/>
    <cellStyle name="Dane wejściowe 2 24 45 3" xfId="10477"/>
    <cellStyle name="Dane wejściowe 2 24 46" xfId="10478"/>
    <cellStyle name="Dane wejściowe 2 24 46 2" xfId="10479"/>
    <cellStyle name="Dane wejściowe 2 24 46 3" xfId="10480"/>
    <cellStyle name="Dane wejściowe 2 24 47" xfId="10481"/>
    <cellStyle name="Dane wejściowe 2 24 47 2" xfId="10482"/>
    <cellStyle name="Dane wejściowe 2 24 47 3" xfId="10483"/>
    <cellStyle name="Dane wejściowe 2 24 48" xfId="10484"/>
    <cellStyle name="Dane wejściowe 2 24 48 2" xfId="10485"/>
    <cellStyle name="Dane wejściowe 2 24 48 3" xfId="10486"/>
    <cellStyle name="Dane wejściowe 2 24 49" xfId="10487"/>
    <cellStyle name="Dane wejściowe 2 24 49 2" xfId="10488"/>
    <cellStyle name="Dane wejściowe 2 24 49 3" xfId="10489"/>
    <cellStyle name="Dane wejściowe 2 24 5" xfId="10490"/>
    <cellStyle name="Dane wejściowe 2 24 5 2" xfId="10491"/>
    <cellStyle name="Dane wejściowe 2 24 5 3" xfId="10492"/>
    <cellStyle name="Dane wejściowe 2 24 5 4" xfId="10493"/>
    <cellStyle name="Dane wejściowe 2 24 50" xfId="10494"/>
    <cellStyle name="Dane wejściowe 2 24 50 2" xfId="10495"/>
    <cellStyle name="Dane wejściowe 2 24 50 3" xfId="10496"/>
    <cellStyle name="Dane wejściowe 2 24 51" xfId="10497"/>
    <cellStyle name="Dane wejściowe 2 24 51 2" xfId="10498"/>
    <cellStyle name="Dane wejściowe 2 24 51 3" xfId="10499"/>
    <cellStyle name="Dane wejściowe 2 24 52" xfId="10500"/>
    <cellStyle name="Dane wejściowe 2 24 52 2" xfId="10501"/>
    <cellStyle name="Dane wejściowe 2 24 52 3" xfId="10502"/>
    <cellStyle name="Dane wejściowe 2 24 53" xfId="10503"/>
    <cellStyle name="Dane wejściowe 2 24 53 2" xfId="10504"/>
    <cellStyle name="Dane wejściowe 2 24 53 3" xfId="10505"/>
    <cellStyle name="Dane wejściowe 2 24 54" xfId="10506"/>
    <cellStyle name="Dane wejściowe 2 24 54 2" xfId="10507"/>
    <cellStyle name="Dane wejściowe 2 24 54 3" xfId="10508"/>
    <cellStyle name="Dane wejściowe 2 24 55" xfId="10509"/>
    <cellStyle name="Dane wejściowe 2 24 55 2" xfId="10510"/>
    <cellStyle name="Dane wejściowe 2 24 55 3" xfId="10511"/>
    <cellStyle name="Dane wejściowe 2 24 56" xfId="10512"/>
    <cellStyle name="Dane wejściowe 2 24 56 2" xfId="10513"/>
    <cellStyle name="Dane wejściowe 2 24 56 3" xfId="10514"/>
    <cellStyle name="Dane wejściowe 2 24 57" xfId="10515"/>
    <cellStyle name="Dane wejściowe 2 24 58" xfId="10516"/>
    <cellStyle name="Dane wejściowe 2 24 6" xfId="10517"/>
    <cellStyle name="Dane wejściowe 2 24 6 2" xfId="10518"/>
    <cellStyle name="Dane wejściowe 2 24 6 3" xfId="10519"/>
    <cellStyle name="Dane wejściowe 2 24 6 4" xfId="10520"/>
    <cellStyle name="Dane wejściowe 2 24 7" xfId="10521"/>
    <cellStyle name="Dane wejściowe 2 24 7 2" xfId="10522"/>
    <cellStyle name="Dane wejściowe 2 24 7 3" xfId="10523"/>
    <cellStyle name="Dane wejściowe 2 24 7 4" xfId="10524"/>
    <cellStyle name="Dane wejściowe 2 24 8" xfId="10525"/>
    <cellStyle name="Dane wejściowe 2 24 8 2" xfId="10526"/>
    <cellStyle name="Dane wejściowe 2 24 8 3" xfId="10527"/>
    <cellStyle name="Dane wejściowe 2 24 8 4" xfId="10528"/>
    <cellStyle name="Dane wejściowe 2 24 9" xfId="10529"/>
    <cellStyle name="Dane wejściowe 2 24 9 2" xfId="10530"/>
    <cellStyle name="Dane wejściowe 2 24 9 3" xfId="10531"/>
    <cellStyle name="Dane wejściowe 2 24 9 4" xfId="10532"/>
    <cellStyle name="Dane wejściowe 2 25" xfId="10533"/>
    <cellStyle name="Dane wejściowe 2 25 10" xfId="10534"/>
    <cellStyle name="Dane wejściowe 2 25 10 2" xfId="10535"/>
    <cellStyle name="Dane wejściowe 2 25 10 3" xfId="10536"/>
    <cellStyle name="Dane wejściowe 2 25 10 4" xfId="10537"/>
    <cellStyle name="Dane wejściowe 2 25 11" xfId="10538"/>
    <cellStyle name="Dane wejściowe 2 25 11 2" xfId="10539"/>
    <cellStyle name="Dane wejściowe 2 25 11 3" xfId="10540"/>
    <cellStyle name="Dane wejściowe 2 25 11 4" xfId="10541"/>
    <cellStyle name="Dane wejściowe 2 25 12" xfId="10542"/>
    <cellStyle name="Dane wejściowe 2 25 12 2" xfId="10543"/>
    <cellStyle name="Dane wejściowe 2 25 12 3" xfId="10544"/>
    <cellStyle name="Dane wejściowe 2 25 12 4" xfId="10545"/>
    <cellStyle name="Dane wejściowe 2 25 13" xfId="10546"/>
    <cellStyle name="Dane wejściowe 2 25 13 2" xfId="10547"/>
    <cellStyle name="Dane wejściowe 2 25 13 3" xfId="10548"/>
    <cellStyle name="Dane wejściowe 2 25 13 4" xfId="10549"/>
    <cellStyle name="Dane wejściowe 2 25 14" xfId="10550"/>
    <cellStyle name="Dane wejściowe 2 25 14 2" xfId="10551"/>
    <cellStyle name="Dane wejściowe 2 25 14 3" xfId="10552"/>
    <cellStyle name="Dane wejściowe 2 25 14 4" xfId="10553"/>
    <cellStyle name="Dane wejściowe 2 25 15" xfId="10554"/>
    <cellStyle name="Dane wejściowe 2 25 15 2" xfId="10555"/>
    <cellStyle name="Dane wejściowe 2 25 15 3" xfId="10556"/>
    <cellStyle name="Dane wejściowe 2 25 15 4" xfId="10557"/>
    <cellStyle name="Dane wejściowe 2 25 16" xfId="10558"/>
    <cellStyle name="Dane wejściowe 2 25 16 2" xfId="10559"/>
    <cellStyle name="Dane wejściowe 2 25 16 3" xfId="10560"/>
    <cellStyle name="Dane wejściowe 2 25 16 4" xfId="10561"/>
    <cellStyle name="Dane wejściowe 2 25 17" xfId="10562"/>
    <cellStyle name="Dane wejściowe 2 25 17 2" xfId="10563"/>
    <cellStyle name="Dane wejściowe 2 25 17 3" xfId="10564"/>
    <cellStyle name="Dane wejściowe 2 25 17 4" xfId="10565"/>
    <cellStyle name="Dane wejściowe 2 25 18" xfId="10566"/>
    <cellStyle name="Dane wejściowe 2 25 18 2" xfId="10567"/>
    <cellStyle name="Dane wejściowe 2 25 18 3" xfId="10568"/>
    <cellStyle name="Dane wejściowe 2 25 18 4" xfId="10569"/>
    <cellStyle name="Dane wejściowe 2 25 19" xfId="10570"/>
    <cellStyle name="Dane wejściowe 2 25 19 2" xfId="10571"/>
    <cellStyle name="Dane wejściowe 2 25 19 3" xfId="10572"/>
    <cellStyle name="Dane wejściowe 2 25 19 4" xfId="10573"/>
    <cellStyle name="Dane wejściowe 2 25 2" xfId="10574"/>
    <cellStyle name="Dane wejściowe 2 25 2 2" xfId="10575"/>
    <cellStyle name="Dane wejściowe 2 25 2 3" xfId="10576"/>
    <cellStyle name="Dane wejściowe 2 25 2 4" xfId="10577"/>
    <cellStyle name="Dane wejściowe 2 25 20" xfId="10578"/>
    <cellStyle name="Dane wejściowe 2 25 20 2" xfId="10579"/>
    <cellStyle name="Dane wejściowe 2 25 20 3" xfId="10580"/>
    <cellStyle name="Dane wejściowe 2 25 20 4" xfId="10581"/>
    <cellStyle name="Dane wejściowe 2 25 21" xfId="10582"/>
    <cellStyle name="Dane wejściowe 2 25 21 2" xfId="10583"/>
    <cellStyle name="Dane wejściowe 2 25 21 3" xfId="10584"/>
    <cellStyle name="Dane wejściowe 2 25 22" xfId="10585"/>
    <cellStyle name="Dane wejściowe 2 25 22 2" xfId="10586"/>
    <cellStyle name="Dane wejściowe 2 25 22 3" xfId="10587"/>
    <cellStyle name="Dane wejściowe 2 25 23" xfId="10588"/>
    <cellStyle name="Dane wejściowe 2 25 23 2" xfId="10589"/>
    <cellStyle name="Dane wejściowe 2 25 23 3" xfId="10590"/>
    <cellStyle name="Dane wejściowe 2 25 24" xfId="10591"/>
    <cellStyle name="Dane wejściowe 2 25 24 2" xfId="10592"/>
    <cellStyle name="Dane wejściowe 2 25 24 3" xfId="10593"/>
    <cellStyle name="Dane wejściowe 2 25 25" xfId="10594"/>
    <cellStyle name="Dane wejściowe 2 25 25 2" xfId="10595"/>
    <cellStyle name="Dane wejściowe 2 25 25 3" xfId="10596"/>
    <cellStyle name="Dane wejściowe 2 25 26" xfId="10597"/>
    <cellStyle name="Dane wejściowe 2 25 26 2" xfId="10598"/>
    <cellStyle name="Dane wejściowe 2 25 26 3" xfId="10599"/>
    <cellStyle name="Dane wejściowe 2 25 27" xfId="10600"/>
    <cellStyle name="Dane wejściowe 2 25 27 2" xfId="10601"/>
    <cellStyle name="Dane wejściowe 2 25 27 3" xfId="10602"/>
    <cellStyle name="Dane wejściowe 2 25 28" xfId="10603"/>
    <cellStyle name="Dane wejściowe 2 25 28 2" xfId="10604"/>
    <cellStyle name="Dane wejściowe 2 25 28 3" xfId="10605"/>
    <cellStyle name="Dane wejściowe 2 25 29" xfId="10606"/>
    <cellStyle name="Dane wejściowe 2 25 29 2" xfId="10607"/>
    <cellStyle name="Dane wejściowe 2 25 29 3" xfId="10608"/>
    <cellStyle name="Dane wejściowe 2 25 3" xfId="10609"/>
    <cellStyle name="Dane wejściowe 2 25 3 2" xfId="10610"/>
    <cellStyle name="Dane wejściowe 2 25 3 3" xfId="10611"/>
    <cellStyle name="Dane wejściowe 2 25 3 4" xfId="10612"/>
    <cellStyle name="Dane wejściowe 2 25 30" xfId="10613"/>
    <cellStyle name="Dane wejściowe 2 25 30 2" xfId="10614"/>
    <cellStyle name="Dane wejściowe 2 25 30 3" xfId="10615"/>
    <cellStyle name="Dane wejściowe 2 25 31" xfId="10616"/>
    <cellStyle name="Dane wejściowe 2 25 31 2" xfId="10617"/>
    <cellStyle name="Dane wejściowe 2 25 31 3" xfId="10618"/>
    <cellStyle name="Dane wejściowe 2 25 32" xfId="10619"/>
    <cellStyle name="Dane wejściowe 2 25 32 2" xfId="10620"/>
    <cellStyle name="Dane wejściowe 2 25 32 3" xfId="10621"/>
    <cellStyle name="Dane wejściowe 2 25 33" xfId="10622"/>
    <cellStyle name="Dane wejściowe 2 25 33 2" xfId="10623"/>
    <cellStyle name="Dane wejściowe 2 25 33 3" xfId="10624"/>
    <cellStyle name="Dane wejściowe 2 25 34" xfId="10625"/>
    <cellStyle name="Dane wejściowe 2 25 34 2" xfId="10626"/>
    <cellStyle name="Dane wejściowe 2 25 34 3" xfId="10627"/>
    <cellStyle name="Dane wejściowe 2 25 35" xfId="10628"/>
    <cellStyle name="Dane wejściowe 2 25 35 2" xfId="10629"/>
    <cellStyle name="Dane wejściowe 2 25 35 3" xfId="10630"/>
    <cellStyle name="Dane wejściowe 2 25 36" xfId="10631"/>
    <cellStyle name="Dane wejściowe 2 25 36 2" xfId="10632"/>
    <cellStyle name="Dane wejściowe 2 25 36 3" xfId="10633"/>
    <cellStyle name="Dane wejściowe 2 25 37" xfId="10634"/>
    <cellStyle name="Dane wejściowe 2 25 37 2" xfId="10635"/>
    <cellStyle name="Dane wejściowe 2 25 37 3" xfId="10636"/>
    <cellStyle name="Dane wejściowe 2 25 38" xfId="10637"/>
    <cellStyle name="Dane wejściowe 2 25 38 2" xfId="10638"/>
    <cellStyle name="Dane wejściowe 2 25 38 3" xfId="10639"/>
    <cellStyle name="Dane wejściowe 2 25 39" xfId="10640"/>
    <cellStyle name="Dane wejściowe 2 25 39 2" xfId="10641"/>
    <cellStyle name="Dane wejściowe 2 25 39 3" xfId="10642"/>
    <cellStyle name="Dane wejściowe 2 25 4" xfId="10643"/>
    <cellStyle name="Dane wejściowe 2 25 4 2" xfId="10644"/>
    <cellStyle name="Dane wejściowe 2 25 4 3" xfId="10645"/>
    <cellStyle name="Dane wejściowe 2 25 4 4" xfId="10646"/>
    <cellStyle name="Dane wejściowe 2 25 40" xfId="10647"/>
    <cellStyle name="Dane wejściowe 2 25 40 2" xfId="10648"/>
    <cellStyle name="Dane wejściowe 2 25 40 3" xfId="10649"/>
    <cellStyle name="Dane wejściowe 2 25 41" xfId="10650"/>
    <cellStyle name="Dane wejściowe 2 25 41 2" xfId="10651"/>
    <cellStyle name="Dane wejściowe 2 25 41 3" xfId="10652"/>
    <cellStyle name="Dane wejściowe 2 25 42" xfId="10653"/>
    <cellStyle name="Dane wejściowe 2 25 42 2" xfId="10654"/>
    <cellStyle name="Dane wejściowe 2 25 42 3" xfId="10655"/>
    <cellStyle name="Dane wejściowe 2 25 43" xfId="10656"/>
    <cellStyle name="Dane wejściowe 2 25 43 2" xfId="10657"/>
    <cellStyle name="Dane wejściowe 2 25 43 3" xfId="10658"/>
    <cellStyle name="Dane wejściowe 2 25 44" xfId="10659"/>
    <cellStyle name="Dane wejściowe 2 25 44 2" xfId="10660"/>
    <cellStyle name="Dane wejściowe 2 25 44 3" xfId="10661"/>
    <cellStyle name="Dane wejściowe 2 25 45" xfId="10662"/>
    <cellStyle name="Dane wejściowe 2 25 45 2" xfId="10663"/>
    <cellStyle name="Dane wejściowe 2 25 45 3" xfId="10664"/>
    <cellStyle name="Dane wejściowe 2 25 46" xfId="10665"/>
    <cellStyle name="Dane wejściowe 2 25 46 2" xfId="10666"/>
    <cellStyle name="Dane wejściowe 2 25 46 3" xfId="10667"/>
    <cellStyle name="Dane wejściowe 2 25 47" xfId="10668"/>
    <cellStyle name="Dane wejściowe 2 25 47 2" xfId="10669"/>
    <cellStyle name="Dane wejściowe 2 25 47 3" xfId="10670"/>
    <cellStyle name="Dane wejściowe 2 25 48" xfId="10671"/>
    <cellStyle name="Dane wejściowe 2 25 48 2" xfId="10672"/>
    <cellStyle name="Dane wejściowe 2 25 48 3" xfId="10673"/>
    <cellStyle name="Dane wejściowe 2 25 49" xfId="10674"/>
    <cellStyle name="Dane wejściowe 2 25 49 2" xfId="10675"/>
    <cellStyle name="Dane wejściowe 2 25 49 3" xfId="10676"/>
    <cellStyle name="Dane wejściowe 2 25 5" xfId="10677"/>
    <cellStyle name="Dane wejściowe 2 25 5 2" xfId="10678"/>
    <cellStyle name="Dane wejściowe 2 25 5 3" xfId="10679"/>
    <cellStyle name="Dane wejściowe 2 25 5 4" xfId="10680"/>
    <cellStyle name="Dane wejściowe 2 25 50" xfId="10681"/>
    <cellStyle name="Dane wejściowe 2 25 50 2" xfId="10682"/>
    <cellStyle name="Dane wejściowe 2 25 50 3" xfId="10683"/>
    <cellStyle name="Dane wejściowe 2 25 51" xfId="10684"/>
    <cellStyle name="Dane wejściowe 2 25 51 2" xfId="10685"/>
    <cellStyle name="Dane wejściowe 2 25 51 3" xfId="10686"/>
    <cellStyle name="Dane wejściowe 2 25 52" xfId="10687"/>
    <cellStyle name="Dane wejściowe 2 25 52 2" xfId="10688"/>
    <cellStyle name="Dane wejściowe 2 25 52 3" xfId="10689"/>
    <cellStyle name="Dane wejściowe 2 25 53" xfId="10690"/>
    <cellStyle name="Dane wejściowe 2 25 53 2" xfId="10691"/>
    <cellStyle name="Dane wejściowe 2 25 53 3" xfId="10692"/>
    <cellStyle name="Dane wejściowe 2 25 54" xfId="10693"/>
    <cellStyle name="Dane wejściowe 2 25 54 2" xfId="10694"/>
    <cellStyle name="Dane wejściowe 2 25 54 3" xfId="10695"/>
    <cellStyle name="Dane wejściowe 2 25 55" xfId="10696"/>
    <cellStyle name="Dane wejściowe 2 25 55 2" xfId="10697"/>
    <cellStyle name="Dane wejściowe 2 25 55 3" xfId="10698"/>
    <cellStyle name="Dane wejściowe 2 25 56" xfId="10699"/>
    <cellStyle name="Dane wejściowe 2 25 56 2" xfId="10700"/>
    <cellStyle name="Dane wejściowe 2 25 56 3" xfId="10701"/>
    <cellStyle name="Dane wejściowe 2 25 57" xfId="10702"/>
    <cellStyle name="Dane wejściowe 2 25 58" xfId="10703"/>
    <cellStyle name="Dane wejściowe 2 25 6" xfId="10704"/>
    <cellStyle name="Dane wejściowe 2 25 6 2" xfId="10705"/>
    <cellStyle name="Dane wejściowe 2 25 6 3" xfId="10706"/>
    <cellStyle name="Dane wejściowe 2 25 6 4" xfId="10707"/>
    <cellStyle name="Dane wejściowe 2 25 7" xfId="10708"/>
    <cellStyle name="Dane wejściowe 2 25 7 2" xfId="10709"/>
    <cellStyle name="Dane wejściowe 2 25 7 3" xfId="10710"/>
    <cellStyle name="Dane wejściowe 2 25 7 4" xfId="10711"/>
    <cellStyle name="Dane wejściowe 2 25 8" xfId="10712"/>
    <cellStyle name="Dane wejściowe 2 25 8 2" xfId="10713"/>
    <cellStyle name="Dane wejściowe 2 25 8 3" xfId="10714"/>
    <cellStyle name="Dane wejściowe 2 25 8 4" xfId="10715"/>
    <cellStyle name="Dane wejściowe 2 25 9" xfId="10716"/>
    <cellStyle name="Dane wejściowe 2 25 9 2" xfId="10717"/>
    <cellStyle name="Dane wejściowe 2 25 9 3" xfId="10718"/>
    <cellStyle name="Dane wejściowe 2 25 9 4" xfId="10719"/>
    <cellStyle name="Dane wejściowe 2 26" xfId="10720"/>
    <cellStyle name="Dane wejściowe 2 26 10" xfId="10721"/>
    <cellStyle name="Dane wejściowe 2 26 10 2" xfId="10722"/>
    <cellStyle name="Dane wejściowe 2 26 10 3" xfId="10723"/>
    <cellStyle name="Dane wejściowe 2 26 10 4" xfId="10724"/>
    <cellStyle name="Dane wejściowe 2 26 11" xfId="10725"/>
    <cellStyle name="Dane wejściowe 2 26 11 2" xfId="10726"/>
    <cellStyle name="Dane wejściowe 2 26 11 3" xfId="10727"/>
    <cellStyle name="Dane wejściowe 2 26 11 4" xfId="10728"/>
    <cellStyle name="Dane wejściowe 2 26 12" xfId="10729"/>
    <cellStyle name="Dane wejściowe 2 26 12 2" xfId="10730"/>
    <cellStyle name="Dane wejściowe 2 26 12 3" xfId="10731"/>
    <cellStyle name="Dane wejściowe 2 26 12 4" xfId="10732"/>
    <cellStyle name="Dane wejściowe 2 26 13" xfId="10733"/>
    <cellStyle name="Dane wejściowe 2 26 13 2" xfId="10734"/>
    <cellStyle name="Dane wejściowe 2 26 13 3" xfId="10735"/>
    <cellStyle name="Dane wejściowe 2 26 13 4" xfId="10736"/>
    <cellStyle name="Dane wejściowe 2 26 14" xfId="10737"/>
    <cellStyle name="Dane wejściowe 2 26 14 2" xfId="10738"/>
    <cellStyle name="Dane wejściowe 2 26 14 3" xfId="10739"/>
    <cellStyle name="Dane wejściowe 2 26 14 4" xfId="10740"/>
    <cellStyle name="Dane wejściowe 2 26 15" xfId="10741"/>
    <cellStyle name="Dane wejściowe 2 26 15 2" xfId="10742"/>
    <cellStyle name="Dane wejściowe 2 26 15 3" xfId="10743"/>
    <cellStyle name="Dane wejściowe 2 26 15 4" xfId="10744"/>
    <cellStyle name="Dane wejściowe 2 26 16" xfId="10745"/>
    <cellStyle name="Dane wejściowe 2 26 16 2" xfId="10746"/>
    <cellStyle name="Dane wejściowe 2 26 16 3" xfId="10747"/>
    <cellStyle name="Dane wejściowe 2 26 16 4" xfId="10748"/>
    <cellStyle name="Dane wejściowe 2 26 17" xfId="10749"/>
    <cellStyle name="Dane wejściowe 2 26 17 2" xfId="10750"/>
    <cellStyle name="Dane wejściowe 2 26 17 3" xfId="10751"/>
    <cellStyle name="Dane wejściowe 2 26 17 4" xfId="10752"/>
    <cellStyle name="Dane wejściowe 2 26 18" xfId="10753"/>
    <cellStyle name="Dane wejściowe 2 26 18 2" xfId="10754"/>
    <cellStyle name="Dane wejściowe 2 26 18 3" xfId="10755"/>
    <cellStyle name="Dane wejściowe 2 26 18 4" xfId="10756"/>
    <cellStyle name="Dane wejściowe 2 26 19" xfId="10757"/>
    <cellStyle name="Dane wejściowe 2 26 19 2" xfId="10758"/>
    <cellStyle name="Dane wejściowe 2 26 19 3" xfId="10759"/>
    <cellStyle name="Dane wejściowe 2 26 19 4" xfId="10760"/>
    <cellStyle name="Dane wejściowe 2 26 2" xfId="10761"/>
    <cellStyle name="Dane wejściowe 2 26 2 2" xfId="10762"/>
    <cellStyle name="Dane wejściowe 2 26 2 3" xfId="10763"/>
    <cellStyle name="Dane wejściowe 2 26 2 4" xfId="10764"/>
    <cellStyle name="Dane wejściowe 2 26 20" xfId="10765"/>
    <cellStyle name="Dane wejściowe 2 26 20 2" xfId="10766"/>
    <cellStyle name="Dane wejściowe 2 26 20 3" xfId="10767"/>
    <cellStyle name="Dane wejściowe 2 26 20 4" xfId="10768"/>
    <cellStyle name="Dane wejściowe 2 26 21" xfId="10769"/>
    <cellStyle name="Dane wejściowe 2 26 21 2" xfId="10770"/>
    <cellStyle name="Dane wejściowe 2 26 21 3" xfId="10771"/>
    <cellStyle name="Dane wejściowe 2 26 22" xfId="10772"/>
    <cellStyle name="Dane wejściowe 2 26 22 2" xfId="10773"/>
    <cellStyle name="Dane wejściowe 2 26 22 3" xfId="10774"/>
    <cellStyle name="Dane wejściowe 2 26 23" xfId="10775"/>
    <cellStyle name="Dane wejściowe 2 26 23 2" xfId="10776"/>
    <cellStyle name="Dane wejściowe 2 26 23 3" xfId="10777"/>
    <cellStyle name="Dane wejściowe 2 26 24" xfId="10778"/>
    <cellStyle name="Dane wejściowe 2 26 24 2" xfId="10779"/>
    <cellStyle name="Dane wejściowe 2 26 24 3" xfId="10780"/>
    <cellStyle name="Dane wejściowe 2 26 25" xfId="10781"/>
    <cellStyle name="Dane wejściowe 2 26 25 2" xfId="10782"/>
    <cellStyle name="Dane wejściowe 2 26 25 3" xfId="10783"/>
    <cellStyle name="Dane wejściowe 2 26 26" xfId="10784"/>
    <cellStyle name="Dane wejściowe 2 26 26 2" xfId="10785"/>
    <cellStyle name="Dane wejściowe 2 26 26 3" xfId="10786"/>
    <cellStyle name="Dane wejściowe 2 26 27" xfId="10787"/>
    <cellStyle name="Dane wejściowe 2 26 27 2" xfId="10788"/>
    <cellStyle name="Dane wejściowe 2 26 27 3" xfId="10789"/>
    <cellStyle name="Dane wejściowe 2 26 28" xfId="10790"/>
    <cellStyle name="Dane wejściowe 2 26 28 2" xfId="10791"/>
    <cellStyle name="Dane wejściowe 2 26 28 3" xfId="10792"/>
    <cellStyle name="Dane wejściowe 2 26 29" xfId="10793"/>
    <cellStyle name="Dane wejściowe 2 26 29 2" xfId="10794"/>
    <cellStyle name="Dane wejściowe 2 26 29 3" xfId="10795"/>
    <cellStyle name="Dane wejściowe 2 26 3" xfId="10796"/>
    <cellStyle name="Dane wejściowe 2 26 3 2" xfId="10797"/>
    <cellStyle name="Dane wejściowe 2 26 3 3" xfId="10798"/>
    <cellStyle name="Dane wejściowe 2 26 3 4" xfId="10799"/>
    <cellStyle name="Dane wejściowe 2 26 30" xfId="10800"/>
    <cellStyle name="Dane wejściowe 2 26 30 2" xfId="10801"/>
    <cellStyle name="Dane wejściowe 2 26 30 3" xfId="10802"/>
    <cellStyle name="Dane wejściowe 2 26 31" xfId="10803"/>
    <cellStyle name="Dane wejściowe 2 26 31 2" xfId="10804"/>
    <cellStyle name="Dane wejściowe 2 26 31 3" xfId="10805"/>
    <cellStyle name="Dane wejściowe 2 26 32" xfId="10806"/>
    <cellStyle name="Dane wejściowe 2 26 32 2" xfId="10807"/>
    <cellStyle name="Dane wejściowe 2 26 32 3" xfId="10808"/>
    <cellStyle name="Dane wejściowe 2 26 33" xfId="10809"/>
    <cellStyle name="Dane wejściowe 2 26 33 2" xfId="10810"/>
    <cellStyle name="Dane wejściowe 2 26 33 3" xfId="10811"/>
    <cellStyle name="Dane wejściowe 2 26 34" xfId="10812"/>
    <cellStyle name="Dane wejściowe 2 26 34 2" xfId="10813"/>
    <cellStyle name="Dane wejściowe 2 26 34 3" xfId="10814"/>
    <cellStyle name="Dane wejściowe 2 26 35" xfId="10815"/>
    <cellStyle name="Dane wejściowe 2 26 35 2" xfId="10816"/>
    <cellStyle name="Dane wejściowe 2 26 35 3" xfId="10817"/>
    <cellStyle name="Dane wejściowe 2 26 36" xfId="10818"/>
    <cellStyle name="Dane wejściowe 2 26 36 2" xfId="10819"/>
    <cellStyle name="Dane wejściowe 2 26 36 3" xfId="10820"/>
    <cellStyle name="Dane wejściowe 2 26 37" xfId="10821"/>
    <cellStyle name="Dane wejściowe 2 26 37 2" xfId="10822"/>
    <cellStyle name="Dane wejściowe 2 26 37 3" xfId="10823"/>
    <cellStyle name="Dane wejściowe 2 26 38" xfId="10824"/>
    <cellStyle name="Dane wejściowe 2 26 38 2" xfId="10825"/>
    <cellStyle name="Dane wejściowe 2 26 38 3" xfId="10826"/>
    <cellStyle name="Dane wejściowe 2 26 39" xfId="10827"/>
    <cellStyle name="Dane wejściowe 2 26 39 2" xfId="10828"/>
    <cellStyle name="Dane wejściowe 2 26 39 3" xfId="10829"/>
    <cellStyle name="Dane wejściowe 2 26 4" xfId="10830"/>
    <cellStyle name="Dane wejściowe 2 26 4 2" xfId="10831"/>
    <cellStyle name="Dane wejściowe 2 26 4 3" xfId="10832"/>
    <cellStyle name="Dane wejściowe 2 26 4 4" xfId="10833"/>
    <cellStyle name="Dane wejściowe 2 26 40" xfId="10834"/>
    <cellStyle name="Dane wejściowe 2 26 40 2" xfId="10835"/>
    <cellStyle name="Dane wejściowe 2 26 40 3" xfId="10836"/>
    <cellStyle name="Dane wejściowe 2 26 41" xfId="10837"/>
    <cellStyle name="Dane wejściowe 2 26 41 2" xfId="10838"/>
    <cellStyle name="Dane wejściowe 2 26 41 3" xfId="10839"/>
    <cellStyle name="Dane wejściowe 2 26 42" xfId="10840"/>
    <cellStyle name="Dane wejściowe 2 26 42 2" xfId="10841"/>
    <cellStyle name="Dane wejściowe 2 26 42 3" xfId="10842"/>
    <cellStyle name="Dane wejściowe 2 26 43" xfId="10843"/>
    <cellStyle name="Dane wejściowe 2 26 43 2" xfId="10844"/>
    <cellStyle name="Dane wejściowe 2 26 43 3" xfId="10845"/>
    <cellStyle name="Dane wejściowe 2 26 44" xfId="10846"/>
    <cellStyle name="Dane wejściowe 2 26 44 2" xfId="10847"/>
    <cellStyle name="Dane wejściowe 2 26 44 3" xfId="10848"/>
    <cellStyle name="Dane wejściowe 2 26 45" xfId="10849"/>
    <cellStyle name="Dane wejściowe 2 26 45 2" xfId="10850"/>
    <cellStyle name="Dane wejściowe 2 26 45 3" xfId="10851"/>
    <cellStyle name="Dane wejściowe 2 26 46" xfId="10852"/>
    <cellStyle name="Dane wejściowe 2 26 46 2" xfId="10853"/>
    <cellStyle name="Dane wejściowe 2 26 46 3" xfId="10854"/>
    <cellStyle name="Dane wejściowe 2 26 47" xfId="10855"/>
    <cellStyle name="Dane wejściowe 2 26 47 2" xfId="10856"/>
    <cellStyle name="Dane wejściowe 2 26 47 3" xfId="10857"/>
    <cellStyle name="Dane wejściowe 2 26 48" xfId="10858"/>
    <cellStyle name="Dane wejściowe 2 26 48 2" xfId="10859"/>
    <cellStyle name="Dane wejściowe 2 26 48 3" xfId="10860"/>
    <cellStyle name="Dane wejściowe 2 26 49" xfId="10861"/>
    <cellStyle name="Dane wejściowe 2 26 49 2" xfId="10862"/>
    <cellStyle name="Dane wejściowe 2 26 49 3" xfId="10863"/>
    <cellStyle name="Dane wejściowe 2 26 5" xfId="10864"/>
    <cellStyle name="Dane wejściowe 2 26 5 2" xfId="10865"/>
    <cellStyle name="Dane wejściowe 2 26 5 3" xfId="10866"/>
    <cellStyle name="Dane wejściowe 2 26 5 4" xfId="10867"/>
    <cellStyle name="Dane wejściowe 2 26 50" xfId="10868"/>
    <cellStyle name="Dane wejściowe 2 26 50 2" xfId="10869"/>
    <cellStyle name="Dane wejściowe 2 26 50 3" xfId="10870"/>
    <cellStyle name="Dane wejściowe 2 26 51" xfId="10871"/>
    <cellStyle name="Dane wejściowe 2 26 51 2" xfId="10872"/>
    <cellStyle name="Dane wejściowe 2 26 51 3" xfId="10873"/>
    <cellStyle name="Dane wejściowe 2 26 52" xfId="10874"/>
    <cellStyle name="Dane wejściowe 2 26 52 2" xfId="10875"/>
    <cellStyle name="Dane wejściowe 2 26 52 3" xfId="10876"/>
    <cellStyle name="Dane wejściowe 2 26 53" xfId="10877"/>
    <cellStyle name="Dane wejściowe 2 26 53 2" xfId="10878"/>
    <cellStyle name="Dane wejściowe 2 26 53 3" xfId="10879"/>
    <cellStyle name="Dane wejściowe 2 26 54" xfId="10880"/>
    <cellStyle name="Dane wejściowe 2 26 54 2" xfId="10881"/>
    <cellStyle name="Dane wejściowe 2 26 54 3" xfId="10882"/>
    <cellStyle name="Dane wejściowe 2 26 55" xfId="10883"/>
    <cellStyle name="Dane wejściowe 2 26 55 2" xfId="10884"/>
    <cellStyle name="Dane wejściowe 2 26 55 3" xfId="10885"/>
    <cellStyle name="Dane wejściowe 2 26 56" xfId="10886"/>
    <cellStyle name="Dane wejściowe 2 26 56 2" xfId="10887"/>
    <cellStyle name="Dane wejściowe 2 26 56 3" xfId="10888"/>
    <cellStyle name="Dane wejściowe 2 26 57" xfId="10889"/>
    <cellStyle name="Dane wejściowe 2 26 58" xfId="10890"/>
    <cellStyle name="Dane wejściowe 2 26 6" xfId="10891"/>
    <cellStyle name="Dane wejściowe 2 26 6 2" xfId="10892"/>
    <cellStyle name="Dane wejściowe 2 26 6 3" xfId="10893"/>
    <cellStyle name="Dane wejściowe 2 26 6 4" xfId="10894"/>
    <cellStyle name="Dane wejściowe 2 26 7" xfId="10895"/>
    <cellStyle name="Dane wejściowe 2 26 7 2" xfId="10896"/>
    <cellStyle name="Dane wejściowe 2 26 7 3" xfId="10897"/>
    <cellStyle name="Dane wejściowe 2 26 7 4" xfId="10898"/>
    <cellStyle name="Dane wejściowe 2 26 8" xfId="10899"/>
    <cellStyle name="Dane wejściowe 2 26 8 2" xfId="10900"/>
    <cellStyle name="Dane wejściowe 2 26 8 3" xfId="10901"/>
    <cellStyle name="Dane wejściowe 2 26 8 4" xfId="10902"/>
    <cellStyle name="Dane wejściowe 2 26 9" xfId="10903"/>
    <cellStyle name="Dane wejściowe 2 26 9 2" xfId="10904"/>
    <cellStyle name="Dane wejściowe 2 26 9 3" xfId="10905"/>
    <cellStyle name="Dane wejściowe 2 26 9 4" xfId="10906"/>
    <cellStyle name="Dane wejściowe 2 27" xfId="10907"/>
    <cellStyle name="Dane wejściowe 2 27 10" xfId="10908"/>
    <cellStyle name="Dane wejściowe 2 27 10 2" xfId="10909"/>
    <cellStyle name="Dane wejściowe 2 27 10 3" xfId="10910"/>
    <cellStyle name="Dane wejściowe 2 27 10 4" xfId="10911"/>
    <cellStyle name="Dane wejściowe 2 27 11" xfId="10912"/>
    <cellStyle name="Dane wejściowe 2 27 11 2" xfId="10913"/>
    <cellStyle name="Dane wejściowe 2 27 11 3" xfId="10914"/>
    <cellStyle name="Dane wejściowe 2 27 11 4" xfId="10915"/>
    <cellStyle name="Dane wejściowe 2 27 12" xfId="10916"/>
    <cellStyle name="Dane wejściowe 2 27 12 2" xfId="10917"/>
    <cellStyle name="Dane wejściowe 2 27 12 3" xfId="10918"/>
    <cellStyle name="Dane wejściowe 2 27 12 4" xfId="10919"/>
    <cellStyle name="Dane wejściowe 2 27 13" xfId="10920"/>
    <cellStyle name="Dane wejściowe 2 27 13 2" xfId="10921"/>
    <cellStyle name="Dane wejściowe 2 27 13 3" xfId="10922"/>
    <cellStyle name="Dane wejściowe 2 27 13 4" xfId="10923"/>
    <cellStyle name="Dane wejściowe 2 27 14" xfId="10924"/>
    <cellStyle name="Dane wejściowe 2 27 14 2" xfId="10925"/>
    <cellStyle name="Dane wejściowe 2 27 14 3" xfId="10926"/>
    <cellStyle name="Dane wejściowe 2 27 14 4" xfId="10927"/>
    <cellStyle name="Dane wejściowe 2 27 15" xfId="10928"/>
    <cellStyle name="Dane wejściowe 2 27 15 2" xfId="10929"/>
    <cellStyle name="Dane wejściowe 2 27 15 3" xfId="10930"/>
    <cellStyle name="Dane wejściowe 2 27 15 4" xfId="10931"/>
    <cellStyle name="Dane wejściowe 2 27 16" xfId="10932"/>
    <cellStyle name="Dane wejściowe 2 27 16 2" xfId="10933"/>
    <cellStyle name="Dane wejściowe 2 27 16 3" xfId="10934"/>
    <cellStyle name="Dane wejściowe 2 27 16 4" xfId="10935"/>
    <cellStyle name="Dane wejściowe 2 27 17" xfId="10936"/>
    <cellStyle name="Dane wejściowe 2 27 17 2" xfId="10937"/>
    <cellStyle name="Dane wejściowe 2 27 17 3" xfId="10938"/>
    <cellStyle name="Dane wejściowe 2 27 17 4" xfId="10939"/>
    <cellStyle name="Dane wejściowe 2 27 18" xfId="10940"/>
    <cellStyle name="Dane wejściowe 2 27 18 2" xfId="10941"/>
    <cellStyle name="Dane wejściowe 2 27 18 3" xfId="10942"/>
    <cellStyle name="Dane wejściowe 2 27 18 4" xfId="10943"/>
    <cellStyle name="Dane wejściowe 2 27 19" xfId="10944"/>
    <cellStyle name="Dane wejściowe 2 27 19 2" xfId="10945"/>
    <cellStyle name="Dane wejściowe 2 27 19 3" xfId="10946"/>
    <cellStyle name="Dane wejściowe 2 27 19 4" xfId="10947"/>
    <cellStyle name="Dane wejściowe 2 27 2" xfId="10948"/>
    <cellStyle name="Dane wejściowe 2 27 2 2" xfId="10949"/>
    <cellStyle name="Dane wejściowe 2 27 2 3" xfId="10950"/>
    <cellStyle name="Dane wejściowe 2 27 2 4" xfId="10951"/>
    <cellStyle name="Dane wejściowe 2 27 20" xfId="10952"/>
    <cellStyle name="Dane wejściowe 2 27 20 2" xfId="10953"/>
    <cellStyle name="Dane wejściowe 2 27 20 3" xfId="10954"/>
    <cellStyle name="Dane wejściowe 2 27 20 4" xfId="10955"/>
    <cellStyle name="Dane wejściowe 2 27 21" xfId="10956"/>
    <cellStyle name="Dane wejściowe 2 27 21 2" xfId="10957"/>
    <cellStyle name="Dane wejściowe 2 27 21 3" xfId="10958"/>
    <cellStyle name="Dane wejściowe 2 27 22" xfId="10959"/>
    <cellStyle name="Dane wejściowe 2 27 22 2" xfId="10960"/>
    <cellStyle name="Dane wejściowe 2 27 22 3" xfId="10961"/>
    <cellStyle name="Dane wejściowe 2 27 23" xfId="10962"/>
    <cellStyle name="Dane wejściowe 2 27 23 2" xfId="10963"/>
    <cellStyle name="Dane wejściowe 2 27 23 3" xfId="10964"/>
    <cellStyle name="Dane wejściowe 2 27 24" xfId="10965"/>
    <cellStyle name="Dane wejściowe 2 27 24 2" xfId="10966"/>
    <cellStyle name="Dane wejściowe 2 27 24 3" xfId="10967"/>
    <cellStyle name="Dane wejściowe 2 27 25" xfId="10968"/>
    <cellStyle name="Dane wejściowe 2 27 25 2" xfId="10969"/>
    <cellStyle name="Dane wejściowe 2 27 25 3" xfId="10970"/>
    <cellStyle name="Dane wejściowe 2 27 26" xfId="10971"/>
    <cellStyle name="Dane wejściowe 2 27 26 2" xfId="10972"/>
    <cellStyle name="Dane wejściowe 2 27 26 3" xfId="10973"/>
    <cellStyle name="Dane wejściowe 2 27 27" xfId="10974"/>
    <cellStyle name="Dane wejściowe 2 27 27 2" xfId="10975"/>
    <cellStyle name="Dane wejściowe 2 27 27 3" xfId="10976"/>
    <cellStyle name="Dane wejściowe 2 27 28" xfId="10977"/>
    <cellStyle name="Dane wejściowe 2 27 28 2" xfId="10978"/>
    <cellStyle name="Dane wejściowe 2 27 28 3" xfId="10979"/>
    <cellStyle name="Dane wejściowe 2 27 29" xfId="10980"/>
    <cellStyle name="Dane wejściowe 2 27 29 2" xfId="10981"/>
    <cellStyle name="Dane wejściowe 2 27 29 3" xfId="10982"/>
    <cellStyle name="Dane wejściowe 2 27 3" xfId="10983"/>
    <cellStyle name="Dane wejściowe 2 27 3 2" xfId="10984"/>
    <cellStyle name="Dane wejściowe 2 27 3 3" xfId="10985"/>
    <cellStyle name="Dane wejściowe 2 27 3 4" xfId="10986"/>
    <cellStyle name="Dane wejściowe 2 27 30" xfId="10987"/>
    <cellStyle name="Dane wejściowe 2 27 30 2" xfId="10988"/>
    <cellStyle name="Dane wejściowe 2 27 30 3" xfId="10989"/>
    <cellStyle name="Dane wejściowe 2 27 31" xfId="10990"/>
    <cellStyle name="Dane wejściowe 2 27 31 2" xfId="10991"/>
    <cellStyle name="Dane wejściowe 2 27 31 3" xfId="10992"/>
    <cellStyle name="Dane wejściowe 2 27 32" xfId="10993"/>
    <cellStyle name="Dane wejściowe 2 27 32 2" xfId="10994"/>
    <cellStyle name="Dane wejściowe 2 27 32 3" xfId="10995"/>
    <cellStyle name="Dane wejściowe 2 27 33" xfId="10996"/>
    <cellStyle name="Dane wejściowe 2 27 33 2" xfId="10997"/>
    <cellStyle name="Dane wejściowe 2 27 33 3" xfId="10998"/>
    <cellStyle name="Dane wejściowe 2 27 34" xfId="10999"/>
    <cellStyle name="Dane wejściowe 2 27 34 2" xfId="11000"/>
    <cellStyle name="Dane wejściowe 2 27 34 3" xfId="11001"/>
    <cellStyle name="Dane wejściowe 2 27 35" xfId="11002"/>
    <cellStyle name="Dane wejściowe 2 27 35 2" xfId="11003"/>
    <cellStyle name="Dane wejściowe 2 27 35 3" xfId="11004"/>
    <cellStyle name="Dane wejściowe 2 27 36" xfId="11005"/>
    <cellStyle name="Dane wejściowe 2 27 36 2" xfId="11006"/>
    <cellStyle name="Dane wejściowe 2 27 36 3" xfId="11007"/>
    <cellStyle name="Dane wejściowe 2 27 37" xfId="11008"/>
    <cellStyle name="Dane wejściowe 2 27 37 2" xfId="11009"/>
    <cellStyle name="Dane wejściowe 2 27 37 3" xfId="11010"/>
    <cellStyle name="Dane wejściowe 2 27 38" xfId="11011"/>
    <cellStyle name="Dane wejściowe 2 27 38 2" xfId="11012"/>
    <cellStyle name="Dane wejściowe 2 27 38 3" xfId="11013"/>
    <cellStyle name="Dane wejściowe 2 27 39" xfId="11014"/>
    <cellStyle name="Dane wejściowe 2 27 39 2" xfId="11015"/>
    <cellStyle name="Dane wejściowe 2 27 39 3" xfId="11016"/>
    <cellStyle name="Dane wejściowe 2 27 4" xfId="11017"/>
    <cellStyle name="Dane wejściowe 2 27 4 2" xfId="11018"/>
    <cellStyle name="Dane wejściowe 2 27 4 3" xfId="11019"/>
    <cellStyle name="Dane wejściowe 2 27 4 4" xfId="11020"/>
    <cellStyle name="Dane wejściowe 2 27 40" xfId="11021"/>
    <cellStyle name="Dane wejściowe 2 27 40 2" xfId="11022"/>
    <cellStyle name="Dane wejściowe 2 27 40 3" xfId="11023"/>
    <cellStyle name="Dane wejściowe 2 27 41" xfId="11024"/>
    <cellStyle name="Dane wejściowe 2 27 41 2" xfId="11025"/>
    <cellStyle name="Dane wejściowe 2 27 41 3" xfId="11026"/>
    <cellStyle name="Dane wejściowe 2 27 42" xfId="11027"/>
    <cellStyle name="Dane wejściowe 2 27 42 2" xfId="11028"/>
    <cellStyle name="Dane wejściowe 2 27 42 3" xfId="11029"/>
    <cellStyle name="Dane wejściowe 2 27 43" xfId="11030"/>
    <cellStyle name="Dane wejściowe 2 27 43 2" xfId="11031"/>
    <cellStyle name="Dane wejściowe 2 27 43 3" xfId="11032"/>
    <cellStyle name="Dane wejściowe 2 27 44" xfId="11033"/>
    <cellStyle name="Dane wejściowe 2 27 44 2" xfId="11034"/>
    <cellStyle name="Dane wejściowe 2 27 44 3" xfId="11035"/>
    <cellStyle name="Dane wejściowe 2 27 45" xfId="11036"/>
    <cellStyle name="Dane wejściowe 2 27 45 2" xfId="11037"/>
    <cellStyle name="Dane wejściowe 2 27 45 3" xfId="11038"/>
    <cellStyle name="Dane wejściowe 2 27 46" xfId="11039"/>
    <cellStyle name="Dane wejściowe 2 27 46 2" xfId="11040"/>
    <cellStyle name="Dane wejściowe 2 27 46 3" xfId="11041"/>
    <cellStyle name="Dane wejściowe 2 27 47" xfId="11042"/>
    <cellStyle name="Dane wejściowe 2 27 47 2" xfId="11043"/>
    <cellStyle name="Dane wejściowe 2 27 47 3" xfId="11044"/>
    <cellStyle name="Dane wejściowe 2 27 48" xfId="11045"/>
    <cellStyle name="Dane wejściowe 2 27 48 2" xfId="11046"/>
    <cellStyle name="Dane wejściowe 2 27 48 3" xfId="11047"/>
    <cellStyle name="Dane wejściowe 2 27 49" xfId="11048"/>
    <cellStyle name="Dane wejściowe 2 27 49 2" xfId="11049"/>
    <cellStyle name="Dane wejściowe 2 27 49 3" xfId="11050"/>
    <cellStyle name="Dane wejściowe 2 27 5" xfId="11051"/>
    <cellStyle name="Dane wejściowe 2 27 5 2" xfId="11052"/>
    <cellStyle name="Dane wejściowe 2 27 5 3" xfId="11053"/>
    <cellStyle name="Dane wejściowe 2 27 5 4" xfId="11054"/>
    <cellStyle name="Dane wejściowe 2 27 50" xfId="11055"/>
    <cellStyle name="Dane wejściowe 2 27 50 2" xfId="11056"/>
    <cellStyle name="Dane wejściowe 2 27 50 3" xfId="11057"/>
    <cellStyle name="Dane wejściowe 2 27 51" xfId="11058"/>
    <cellStyle name="Dane wejściowe 2 27 51 2" xfId="11059"/>
    <cellStyle name="Dane wejściowe 2 27 51 3" xfId="11060"/>
    <cellStyle name="Dane wejściowe 2 27 52" xfId="11061"/>
    <cellStyle name="Dane wejściowe 2 27 52 2" xfId="11062"/>
    <cellStyle name="Dane wejściowe 2 27 52 3" xfId="11063"/>
    <cellStyle name="Dane wejściowe 2 27 53" xfId="11064"/>
    <cellStyle name="Dane wejściowe 2 27 53 2" xfId="11065"/>
    <cellStyle name="Dane wejściowe 2 27 53 3" xfId="11066"/>
    <cellStyle name="Dane wejściowe 2 27 54" xfId="11067"/>
    <cellStyle name="Dane wejściowe 2 27 54 2" xfId="11068"/>
    <cellStyle name="Dane wejściowe 2 27 54 3" xfId="11069"/>
    <cellStyle name="Dane wejściowe 2 27 55" xfId="11070"/>
    <cellStyle name="Dane wejściowe 2 27 55 2" xfId="11071"/>
    <cellStyle name="Dane wejściowe 2 27 55 3" xfId="11072"/>
    <cellStyle name="Dane wejściowe 2 27 56" xfId="11073"/>
    <cellStyle name="Dane wejściowe 2 27 56 2" xfId="11074"/>
    <cellStyle name="Dane wejściowe 2 27 56 3" xfId="11075"/>
    <cellStyle name="Dane wejściowe 2 27 57" xfId="11076"/>
    <cellStyle name="Dane wejściowe 2 27 58" xfId="11077"/>
    <cellStyle name="Dane wejściowe 2 27 6" xfId="11078"/>
    <cellStyle name="Dane wejściowe 2 27 6 2" xfId="11079"/>
    <cellStyle name="Dane wejściowe 2 27 6 3" xfId="11080"/>
    <cellStyle name="Dane wejściowe 2 27 6 4" xfId="11081"/>
    <cellStyle name="Dane wejściowe 2 27 7" xfId="11082"/>
    <cellStyle name="Dane wejściowe 2 27 7 2" xfId="11083"/>
    <cellStyle name="Dane wejściowe 2 27 7 3" xfId="11084"/>
    <cellStyle name="Dane wejściowe 2 27 7 4" xfId="11085"/>
    <cellStyle name="Dane wejściowe 2 27 8" xfId="11086"/>
    <cellStyle name="Dane wejściowe 2 27 8 2" xfId="11087"/>
    <cellStyle name="Dane wejściowe 2 27 8 3" xfId="11088"/>
    <cellStyle name="Dane wejściowe 2 27 8 4" xfId="11089"/>
    <cellStyle name="Dane wejściowe 2 27 9" xfId="11090"/>
    <cellStyle name="Dane wejściowe 2 27 9 2" xfId="11091"/>
    <cellStyle name="Dane wejściowe 2 27 9 3" xfId="11092"/>
    <cellStyle name="Dane wejściowe 2 27 9 4" xfId="11093"/>
    <cellStyle name="Dane wejściowe 2 28" xfId="11094"/>
    <cellStyle name="Dane wejściowe 2 28 10" xfId="11095"/>
    <cellStyle name="Dane wejściowe 2 28 10 2" xfId="11096"/>
    <cellStyle name="Dane wejściowe 2 28 10 3" xfId="11097"/>
    <cellStyle name="Dane wejściowe 2 28 10 4" xfId="11098"/>
    <cellStyle name="Dane wejściowe 2 28 11" xfId="11099"/>
    <cellStyle name="Dane wejściowe 2 28 11 2" xfId="11100"/>
    <cellStyle name="Dane wejściowe 2 28 11 3" xfId="11101"/>
    <cellStyle name="Dane wejściowe 2 28 11 4" xfId="11102"/>
    <cellStyle name="Dane wejściowe 2 28 12" xfId="11103"/>
    <cellStyle name="Dane wejściowe 2 28 12 2" xfId="11104"/>
    <cellStyle name="Dane wejściowe 2 28 12 3" xfId="11105"/>
    <cellStyle name="Dane wejściowe 2 28 12 4" xfId="11106"/>
    <cellStyle name="Dane wejściowe 2 28 13" xfId="11107"/>
    <cellStyle name="Dane wejściowe 2 28 13 2" xfId="11108"/>
    <cellStyle name="Dane wejściowe 2 28 13 3" xfId="11109"/>
    <cellStyle name="Dane wejściowe 2 28 13 4" xfId="11110"/>
    <cellStyle name="Dane wejściowe 2 28 14" xfId="11111"/>
    <cellStyle name="Dane wejściowe 2 28 14 2" xfId="11112"/>
    <cellStyle name="Dane wejściowe 2 28 14 3" xfId="11113"/>
    <cellStyle name="Dane wejściowe 2 28 14 4" xfId="11114"/>
    <cellStyle name="Dane wejściowe 2 28 15" xfId="11115"/>
    <cellStyle name="Dane wejściowe 2 28 15 2" xfId="11116"/>
    <cellStyle name="Dane wejściowe 2 28 15 3" xfId="11117"/>
    <cellStyle name="Dane wejściowe 2 28 15 4" xfId="11118"/>
    <cellStyle name="Dane wejściowe 2 28 16" xfId="11119"/>
    <cellStyle name="Dane wejściowe 2 28 16 2" xfId="11120"/>
    <cellStyle name="Dane wejściowe 2 28 16 3" xfId="11121"/>
    <cellStyle name="Dane wejściowe 2 28 16 4" xfId="11122"/>
    <cellStyle name="Dane wejściowe 2 28 17" xfId="11123"/>
    <cellStyle name="Dane wejściowe 2 28 17 2" xfId="11124"/>
    <cellStyle name="Dane wejściowe 2 28 17 3" xfId="11125"/>
    <cellStyle name="Dane wejściowe 2 28 17 4" xfId="11126"/>
    <cellStyle name="Dane wejściowe 2 28 18" xfId="11127"/>
    <cellStyle name="Dane wejściowe 2 28 18 2" xfId="11128"/>
    <cellStyle name="Dane wejściowe 2 28 18 3" xfId="11129"/>
    <cellStyle name="Dane wejściowe 2 28 18 4" xfId="11130"/>
    <cellStyle name="Dane wejściowe 2 28 19" xfId="11131"/>
    <cellStyle name="Dane wejściowe 2 28 19 2" xfId="11132"/>
    <cellStyle name="Dane wejściowe 2 28 19 3" xfId="11133"/>
    <cellStyle name="Dane wejściowe 2 28 19 4" xfId="11134"/>
    <cellStyle name="Dane wejściowe 2 28 2" xfId="11135"/>
    <cellStyle name="Dane wejściowe 2 28 2 2" xfId="11136"/>
    <cellStyle name="Dane wejściowe 2 28 2 3" xfId="11137"/>
    <cellStyle name="Dane wejściowe 2 28 2 4" xfId="11138"/>
    <cellStyle name="Dane wejściowe 2 28 20" xfId="11139"/>
    <cellStyle name="Dane wejściowe 2 28 20 2" xfId="11140"/>
    <cellStyle name="Dane wejściowe 2 28 20 3" xfId="11141"/>
    <cellStyle name="Dane wejściowe 2 28 20 4" xfId="11142"/>
    <cellStyle name="Dane wejściowe 2 28 21" xfId="11143"/>
    <cellStyle name="Dane wejściowe 2 28 21 2" xfId="11144"/>
    <cellStyle name="Dane wejściowe 2 28 21 3" xfId="11145"/>
    <cellStyle name="Dane wejściowe 2 28 22" xfId="11146"/>
    <cellStyle name="Dane wejściowe 2 28 22 2" xfId="11147"/>
    <cellStyle name="Dane wejściowe 2 28 22 3" xfId="11148"/>
    <cellStyle name="Dane wejściowe 2 28 23" xfId="11149"/>
    <cellStyle name="Dane wejściowe 2 28 23 2" xfId="11150"/>
    <cellStyle name="Dane wejściowe 2 28 23 3" xfId="11151"/>
    <cellStyle name="Dane wejściowe 2 28 24" xfId="11152"/>
    <cellStyle name="Dane wejściowe 2 28 24 2" xfId="11153"/>
    <cellStyle name="Dane wejściowe 2 28 24 3" xfId="11154"/>
    <cellStyle name="Dane wejściowe 2 28 25" xfId="11155"/>
    <cellStyle name="Dane wejściowe 2 28 25 2" xfId="11156"/>
    <cellStyle name="Dane wejściowe 2 28 25 3" xfId="11157"/>
    <cellStyle name="Dane wejściowe 2 28 26" xfId="11158"/>
    <cellStyle name="Dane wejściowe 2 28 26 2" xfId="11159"/>
    <cellStyle name="Dane wejściowe 2 28 26 3" xfId="11160"/>
    <cellStyle name="Dane wejściowe 2 28 27" xfId="11161"/>
    <cellStyle name="Dane wejściowe 2 28 27 2" xfId="11162"/>
    <cellStyle name="Dane wejściowe 2 28 27 3" xfId="11163"/>
    <cellStyle name="Dane wejściowe 2 28 28" xfId="11164"/>
    <cellStyle name="Dane wejściowe 2 28 28 2" xfId="11165"/>
    <cellStyle name="Dane wejściowe 2 28 28 3" xfId="11166"/>
    <cellStyle name="Dane wejściowe 2 28 29" xfId="11167"/>
    <cellStyle name="Dane wejściowe 2 28 29 2" xfId="11168"/>
    <cellStyle name="Dane wejściowe 2 28 29 3" xfId="11169"/>
    <cellStyle name="Dane wejściowe 2 28 3" xfId="11170"/>
    <cellStyle name="Dane wejściowe 2 28 3 2" xfId="11171"/>
    <cellStyle name="Dane wejściowe 2 28 3 3" xfId="11172"/>
    <cellStyle name="Dane wejściowe 2 28 3 4" xfId="11173"/>
    <cellStyle name="Dane wejściowe 2 28 30" xfId="11174"/>
    <cellStyle name="Dane wejściowe 2 28 30 2" xfId="11175"/>
    <cellStyle name="Dane wejściowe 2 28 30 3" xfId="11176"/>
    <cellStyle name="Dane wejściowe 2 28 31" xfId="11177"/>
    <cellStyle name="Dane wejściowe 2 28 31 2" xfId="11178"/>
    <cellStyle name="Dane wejściowe 2 28 31 3" xfId="11179"/>
    <cellStyle name="Dane wejściowe 2 28 32" xfId="11180"/>
    <cellStyle name="Dane wejściowe 2 28 32 2" xfId="11181"/>
    <cellStyle name="Dane wejściowe 2 28 32 3" xfId="11182"/>
    <cellStyle name="Dane wejściowe 2 28 33" xfId="11183"/>
    <cellStyle name="Dane wejściowe 2 28 33 2" xfId="11184"/>
    <cellStyle name="Dane wejściowe 2 28 33 3" xfId="11185"/>
    <cellStyle name="Dane wejściowe 2 28 34" xfId="11186"/>
    <cellStyle name="Dane wejściowe 2 28 34 2" xfId="11187"/>
    <cellStyle name="Dane wejściowe 2 28 34 3" xfId="11188"/>
    <cellStyle name="Dane wejściowe 2 28 35" xfId="11189"/>
    <cellStyle name="Dane wejściowe 2 28 35 2" xfId="11190"/>
    <cellStyle name="Dane wejściowe 2 28 35 3" xfId="11191"/>
    <cellStyle name="Dane wejściowe 2 28 36" xfId="11192"/>
    <cellStyle name="Dane wejściowe 2 28 36 2" xfId="11193"/>
    <cellStyle name="Dane wejściowe 2 28 36 3" xfId="11194"/>
    <cellStyle name="Dane wejściowe 2 28 37" xfId="11195"/>
    <cellStyle name="Dane wejściowe 2 28 37 2" xfId="11196"/>
    <cellStyle name="Dane wejściowe 2 28 37 3" xfId="11197"/>
    <cellStyle name="Dane wejściowe 2 28 38" xfId="11198"/>
    <cellStyle name="Dane wejściowe 2 28 38 2" xfId="11199"/>
    <cellStyle name="Dane wejściowe 2 28 38 3" xfId="11200"/>
    <cellStyle name="Dane wejściowe 2 28 39" xfId="11201"/>
    <cellStyle name="Dane wejściowe 2 28 39 2" xfId="11202"/>
    <cellStyle name="Dane wejściowe 2 28 39 3" xfId="11203"/>
    <cellStyle name="Dane wejściowe 2 28 4" xfId="11204"/>
    <cellStyle name="Dane wejściowe 2 28 4 2" xfId="11205"/>
    <cellStyle name="Dane wejściowe 2 28 4 3" xfId="11206"/>
    <cellStyle name="Dane wejściowe 2 28 4 4" xfId="11207"/>
    <cellStyle name="Dane wejściowe 2 28 40" xfId="11208"/>
    <cellStyle name="Dane wejściowe 2 28 40 2" xfId="11209"/>
    <cellStyle name="Dane wejściowe 2 28 40 3" xfId="11210"/>
    <cellStyle name="Dane wejściowe 2 28 41" xfId="11211"/>
    <cellStyle name="Dane wejściowe 2 28 41 2" xfId="11212"/>
    <cellStyle name="Dane wejściowe 2 28 41 3" xfId="11213"/>
    <cellStyle name="Dane wejściowe 2 28 42" xfId="11214"/>
    <cellStyle name="Dane wejściowe 2 28 42 2" xfId="11215"/>
    <cellStyle name="Dane wejściowe 2 28 42 3" xfId="11216"/>
    <cellStyle name="Dane wejściowe 2 28 43" xfId="11217"/>
    <cellStyle name="Dane wejściowe 2 28 43 2" xfId="11218"/>
    <cellStyle name="Dane wejściowe 2 28 43 3" xfId="11219"/>
    <cellStyle name="Dane wejściowe 2 28 44" xfId="11220"/>
    <cellStyle name="Dane wejściowe 2 28 44 2" xfId="11221"/>
    <cellStyle name="Dane wejściowe 2 28 44 3" xfId="11222"/>
    <cellStyle name="Dane wejściowe 2 28 45" xfId="11223"/>
    <cellStyle name="Dane wejściowe 2 28 45 2" xfId="11224"/>
    <cellStyle name="Dane wejściowe 2 28 45 3" xfId="11225"/>
    <cellStyle name="Dane wejściowe 2 28 46" xfId="11226"/>
    <cellStyle name="Dane wejściowe 2 28 46 2" xfId="11227"/>
    <cellStyle name="Dane wejściowe 2 28 46 3" xfId="11228"/>
    <cellStyle name="Dane wejściowe 2 28 47" xfId="11229"/>
    <cellStyle name="Dane wejściowe 2 28 47 2" xfId="11230"/>
    <cellStyle name="Dane wejściowe 2 28 47 3" xfId="11231"/>
    <cellStyle name="Dane wejściowe 2 28 48" xfId="11232"/>
    <cellStyle name="Dane wejściowe 2 28 48 2" xfId="11233"/>
    <cellStyle name="Dane wejściowe 2 28 48 3" xfId="11234"/>
    <cellStyle name="Dane wejściowe 2 28 49" xfId="11235"/>
    <cellStyle name="Dane wejściowe 2 28 49 2" xfId="11236"/>
    <cellStyle name="Dane wejściowe 2 28 49 3" xfId="11237"/>
    <cellStyle name="Dane wejściowe 2 28 5" xfId="11238"/>
    <cellStyle name="Dane wejściowe 2 28 5 2" xfId="11239"/>
    <cellStyle name="Dane wejściowe 2 28 5 3" xfId="11240"/>
    <cellStyle name="Dane wejściowe 2 28 5 4" xfId="11241"/>
    <cellStyle name="Dane wejściowe 2 28 50" xfId="11242"/>
    <cellStyle name="Dane wejściowe 2 28 50 2" xfId="11243"/>
    <cellStyle name="Dane wejściowe 2 28 50 3" xfId="11244"/>
    <cellStyle name="Dane wejściowe 2 28 51" xfId="11245"/>
    <cellStyle name="Dane wejściowe 2 28 51 2" xfId="11246"/>
    <cellStyle name="Dane wejściowe 2 28 51 3" xfId="11247"/>
    <cellStyle name="Dane wejściowe 2 28 52" xfId="11248"/>
    <cellStyle name="Dane wejściowe 2 28 52 2" xfId="11249"/>
    <cellStyle name="Dane wejściowe 2 28 52 3" xfId="11250"/>
    <cellStyle name="Dane wejściowe 2 28 53" xfId="11251"/>
    <cellStyle name="Dane wejściowe 2 28 53 2" xfId="11252"/>
    <cellStyle name="Dane wejściowe 2 28 53 3" xfId="11253"/>
    <cellStyle name="Dane wejściowe 2 28 54" xfId="11254"/>
    <cellStyle name="Dane wejściowe 2 28 54 2" xfId="11255"/>
    <cellStyle name="Dane wejściowe 2 28 54 3" xfId="11256"/>
    <cellStyle name="Dane wejściowe 2 28 55" xfId="11257"/>
    <cellStyle name="Dane wejściowe 2 28 55 2" xfId="11258"/>
    <cellStyle name="Dane wejściowe 2 28 55 3" xfId="11259"/>
    <cellStyle name="Dane wejściowe 2 28 56" xfId="11260"/>
    <cellStyle name="Dane wejściowe 2 28 56 2" xfId="11261"/>
    <cellStyle name="Dane wejściowe 2 28 56 3" xfId="11262"/>
    <cellStyle name="Dane wejściowe 2 28 57" xfId="11263"/>
    <cellStyle name="Dane wejściowe 2 28 58" xfId="11264"/>
    <cellStyle name="Dane wejściowe 2 28 6" xfId="11265"/>
    <cellStyle name="Dane wejściowe 2 28 6 2" xfId="11266"/>
    <cellStyle name="Dane wejściowe 2 28 6 3" xfId="11267"/>
    <cellStyle name="Dane wejściowe 2 28 6 4" xfId="11268"/>
    <cellStyle name="Dane wejściowe 2 28 7" xfId="11269"/>
    <cellStyle name="Dane wejściowe 2 28 7 2" xfId="11270"/>
    <cellStyle name="Dane wejściowe 2 28 7 3" xfId="11271"/>
    <cellStyle name="Dane wejściowe 2 28 7 4" xfId="11272"/>
    <cellStyle name="Dane wejściowe 2 28 8" xfId="11273"/>
    <cellStyle name="Dane wejściowe 2 28 8 2" xfId="11274"/>
    <cellStyle name="Dane wejściowe 2 28 8 3" xfId="11275"/>
    <cellStyle name="Dane wejściowe 2 28 8 4" xfId="11276"/>
    <cellStyle name="Dane wejściowe 2 28 9" xfId="11277"/>
    <cellStyle name="Dane wejściowe 2 28 9 2" xfId="11278"/>
    <cellStyle name="Dane wejściowe 2 28 9 3" xfId="11279"/>
    <cellStyle name="Dane wejściowe 2 28 9 4" xfId="11280"/>
    <cellStyle name="Dane wejściowe 2 29" xfId="11281"/>
    <cellStyle name="Dane wejściowe 2 29 2" xfId="11282"/>
    <cellStyle name="Dane wejściowe 2 29 3" xfId="11283"/>
    <cellStyle name="Dane wejściowe 2 29 4" xfId="11284"/>
    <cellStyle name="Dane wejściowe 2 3" xfId="11285"/>
    <cellStyle name="Dane wejściowe 2 3 10" xfId="11286"/>
    <cellStyle name="Dane wejściowe 2 3 10 2" xfId="11287"/>
    <cellStyle name="Dane wejściowe 2 3 10 3" xfId="11288"/>
    <cellStyle name="Dane wejściowe 2 3 10 4" xfId="11289"/>
    <cellStyle name="Dane wejściowe 2 3 11" xfId="11290"/>
    <cellStyle name="Dane wejściowe 2 3 11 2" xfId="11291"/>
    <cellStyle name="Dane wejściowe 2 3 11 3" xfId="11292"/>
    <cellStyle name="Dane wejściowe 2 3 11 4" xfId="11293"/>
    <cellStyle name="Dane wejściowe 2 3 12" xfId="11294"/>
    <cellStyle name="Dane wejściowe 2 3 12 2" xfId="11295"/>
    <cellStyle name="Dane wejściowe 2 3 12 3" xfId="11296"/>
    <cellStyle name="Dane wejściowe 2 3 12 4" xfId="11297"/>
    <cellStyle name="Dane wejściowe 2 3 13" xfId="11298"/>
    <cellStyle name="Dane wejściowe 2 3 13 2" xfId="11299"/>
    <cellStyle name="Dane wejściowe 2 3 13 3" xfId="11300"/>
    <cellStyle name="Dane wejściowe 2 3 13 4" xfId="11301"/>
    <cellStyle name="Dane wejściowe 2 3 14" xfId="11302"/>
    <cellStyle name="Dane wejściowe 2 3 14 2" xfId="11303"/>
    <cellStyle name="Dane wejściowe 2 3 14 3" xfId="11304"/>
    <cellStyle name="Dane wejściowe 2 3 14 4" xfId="11305"/>
    <cellStyle name="Dane wejściowe 2 3 15" xfId="11306"/>
    <cellStyle name="Dane wejściowe 2 3 15 2" xfId="11307"/>
    <cellStyle name="Dane wejściowe 2 3 15 3" xfId="11308"/>
    <cellStyle name="Dane wejściowe 2 3 15 4" xfId="11309"/>
    <cellStyle name="Dane wejściowe 2 3 16" xfId="11310"/>
    <cellStyle name="Dane wejściowe 2 3 16 2" xfId="11311"/>
    <cellStyle name="Dane wejściowe 2 3 16 3" xfId="11312"/>
    <cellStyle name="Dane wejściowe 2 3 16 4" xfId="11313"/>
    <cellStyle name="Dane wejściowe 2 3 17" xfId="11314"/>
    <cellStyle name="Dane wejściowe 2 3 17 2" xfId="11315"/>
    <cellStyle name="Dane wejściowe 2 3 17 3" xfId="11316"/>
    <cellStyle name="Dane wejściowe 2 3 17 4" xfId="11317"/>
    <cellStyle name="Dane wejściowe 2 3 18" xfId="11318"/>
    <cellStyle name="Dane wejściowe 2 3 18 2" xfId="11319"/>
    <cellStyle name="Dane wejściowe 2 3 18 3" xfId="11320"/>
    <cellStyle name="Dane wejściowe 2 3 18 4" xfId="11321"/>
    <cellStyle name="Dane wejściowe 2 3 19" xfId="11322"/>
    <cellStyle name="Dane wejściowe 2 3 19 2" xfId="11323"/>
    <cellStyle name="Dane wejściowe 2 3 19 3" xfId="11324"/>
    <cellStyle name="Dane wejściowe 2 3 19 4" xfId="11325"/>
    <cellStyle name="Dane wejściowe 2 3 2" xfId="11326"/>
    <cellStyle name="Dane wejściowe 2 3 2 2" xfId="11327"/>
    <cellStyle name="Dane wejściowe 2 3 2 3" xfId="11328"/>
    <cellStyle name="Dane wejściowe 2 3 2 4" xfId="11329"/>
    <cellStyle name="Dane wejściowe 2 3 20" xfId="11330"/>
    <cellStyle name="Dane wejściowe 2 3 20 2" xfId="11331"/>
    <cellStyle name="Dane wejściowe 2 3 20 3" xfId="11332"/>
    <cellStyle name="Dane wejściowe 2 3 20 4" xfId="11333"/>
    <cellStyle name="Dane wejściowe 2 3 21" xfId="11334"/>
    <cellStyle name="Dane wejściowe 2 3 21 2" xfId="11335"/>
    <cellStyle name="Dane wejściowe 2 3 21 3" xfId="11336"/>
    <cellStyle name="Dane wejściowe 2 3 22" xfId="11337"/>
    <cellStyle name="Dane wejściowe 2 3 22 2" xfId="11338"/>
    <cellStyle name="Dane wejściowe 2 3 22 3" xfId="11339"/>
    <cellStyle name="Dane wejściowe 2 3 23" xfId="11340"/>
    <cellStyle name="Dane wejściowe 2 3 23 2" xfId="11341"/>
    <cellStyle name="Dane wejściowe 2 3 23 3" xfId="11342"/>
    <cellStyle name="Dane wejściowe 2 3 24" xfId="11343"/>
    <cellStyle name="Dane wejściowe 2 3 24 2" xfId="11344"/>
    <cellStyle name="Dane wejściowe 2 3 24 3" xfId="11345"/>
    <cellStyle name="Dane wejściowe 2 3 25" xfId="11346"/>
    <cellStyle name="Dane wejściowe 2 3 25 2" xfId="11347"/>
    <cellStyle name="Dane wejściowe 2 3 25 3" xfId="11348"/>
    <cellStyle name="Dane wejściowe 2 3 26" xfId="11349"/>
    <cellStyle name="Dane wejściowe 2 3 26 2" xfId="11350"/>
    <cellStyle name="Dane wejściowe 2 3 26 3" xfId="11351"/>
    <cellStyle name="Dane wejściowe 2 3 27" xfId="11352"/>
    <cellStyle name="Dane wejściowe 2 3 27 2" xfId="11353"/>
    <cellStyle name="Dane wejściowe 2 3 27 3" xfId="11354"/>
    <cellStyle name="Dane wejściowe 2 3 28" xfId="11355"/>
    <cellStyle name="Dane wejściowe 2 3 28 2" xfId="11356"/>
    <cellStyle name="Dane wejściowe 2 3 28 3" xfId="11357"/>
    <cellStyle name="Dane wejściowe 2 3 29" xfId="11358"/>
    <cellStyle name="Dane wejściowe 2 3 29 2" xfId="11359"/>
    <cellStyle name="Dane wejściowe 2 3 29 3" xfId="11360"/>
    <cellStyle name="Dane wejściowe 2 3 3" xfId="11361"/>
    <cellStyle name="Dane wejściowe 2 3 3 2" xfId="11362"/>
    <cellStyle name="Dane wejściowe 2 3 3 3" xfId="11363"/>
    <cellStyle name="Dane wejściowe 2 3 3 4" xfId="11364"/>
    <cellStyle name="Dane wejściowe 2 3 30" xfId="11365"/>
    <cellStyle name="Dane wejściowe 2 3 30 2" xfId="11366"/>
    <cellStyle name="Dane wejściowe 2 3 30 3" xfId="11367"/>
    <cellStyle name="Dane wejściowe 2 3 31" xfId="11368"/>
    <cellStyle name="Dane wejściowe 2 3 31 2" xfId="11369"/>
    <cellStyle name="Dane wejściowe 2 3 31 3" xfId="11370"/>
    <cellStyle name="Dane wejściowe 2 3 32" xfId="11371"/>
    <cellStyle name="Dane wejściowe 2 3 32 2" xfId="11372"/>
    <cellStyle name="Dane wejściowe 2 3 32 3" xfId="11373"/>
    <cellStyle name="Dane wejściowe 2 3 33" xfId="11374"/>
    <cellStyle name="Dane wejściowe 2 3 33 2" xfId="11375"/>
    <cellStyle name="Dane wejściowe 2 3 33 3" xfId="11376"/>
    <cellStyle name="Dane wejściowe 2 3 34" xfId="11377"/>
    <cellStyle name="Dane wejściowe 2 3 34 2" xfId="11378"/>
    <cellStyle name="Dane wejściowe 2 3 34 3" xfId="11379"/>
    <cellStyle name="Dane wejściowe 2 3 35" xfId="11380"/>
    <cellStyle name="Dane wejściowe 2 3 35 2" xfId="11381"/>
    <cellStyle name="Dane wejściowe 2 3 35 3" xfId="11382"/>
    <cellStyle name="Dane wejściowe 2 3 36" xfId="11383"/>
    <cellStyle name="Dane wejściowe 2 3 36 2" xfId="11384"/>
    <cellStyle name="Dane wejściowe 2 3 36 3" xfId="11385"/>
    <cellStyle name="Dane wejściowe 2 3 37" xfId="11386"/>
    <cellStyle name="Dane wejściowe 2 3 37 2" xfId="11387"/>
    <cellStyle name="Dane wejściowe 2 3 37 3" xfId="11388"/>
    <cellStyle name="Dane wejściowe 2 3 38" xfId="11389"/>
    <cellStyle name="Dane wejściowe 2 3 38 2" xfId="11390"/>
    <cellStyle name="Dane wejściowe 2 3 38 3" xfId="11391"/>
    <cellStyle name="Dane wejściowe 2 3 39" xfId="11392"/>
    <cellStyle name="Dane wejściowe 2 3 39 2" xfId="11393"/>
    <cellStyle name="Dane wejściowe 2 3 39 3" xfId="11394"/>
    <cellStyle name="Dane wejściowe 2 3 4" xfId="11395"/>
    <cellStyle name="Dane wejściowe 2 3 4 2" xfId="11396"/>
    <cellStyle name="Dane wejściowe 2 3 4 3" xfId="11397"/>
    <cellStyle name="Dane wejściowe 2 3 4 4" xfId="11398"/>
    <cellStyle name="Dane wejściowe 2 3 40" xfId="11399"/>
    <cellStyle name="Dane wejściowe 2 3 40 2" xfId="11400"/>
    <cellStyle name="Dane wejściowe 2 3 40 3" xfId="11401"/>
    <cellStyle name="Dane wejściowe 2 3 41" xfId="11402"/>
    <cellStyle name="Dane wejściowe 2 3 41 2" xfId="11403"/>
    <cellStyle name="Dane wejściowe 2 3 41 3" xfId="11404"/>
    <cellStyle name="Dane wejściowe 2 3 42" xfId="11405"/>
    <cellStyle name="Dane wejściowe 2 3 42 2" xfId="11406"/>
    <cellStyle name="Dane wejściowe 2 3 42 3" xfId="11407"/>
    <cellStyle name="Dane wejściowe 2 3 43" xfId="11408"/>
    <cellStyle name="Dane wejściowe 2 3 43 2" xfId="11409"/>
    <cellStyle name="Dane wejściowe 2 3 43 3" xfId="11410"/>
    <cellStyle name="Dane wejściowe 2 3 44" xfId="11411"/>
    <cellStyle name="Dane wejściowe 2 3 44 2" xfId="11412"/>
    <cellStyle name="Dane wejściowe 2 3 44 3" xfId="11413"/>
    <cellStyle name="Dane wejściowe 2 3 45" xfId="11414"/>
    <cellStyle name="Dane wejściowe 2 3 45 2" xfId="11415"/>
    <cellStyle name="Dane wejściowe 2 3 45 3" xfId="11416"/>
    <cellStyle name="Dane wejściowe 2 3 46" xfId="11417"/>
    <cellStyle name="Dane wejściowe 2 3 46 2" xfId="11418"/>
    <cellStyle name="Dane wejściowe 2 3 46 3" xfId="11419"/>
    <cellStyle name="Dane wejściowe 2 3 47" xfId="11420"/>
    <cellStyle name="Dane wejściowe 2 3 47 2" xfId="11421"/>
    <cellStyle name="Dane wejściowe 2 3 47 3" xfId="11422"/>
    <cellStyle name="Dane wejściowe 2 3 48" xfId="11423"/>
    <cellStyle name="Dane wejściowe 2 3 48 2" xfId="11424"/>
    <cellStyle name="Dane wejściowe 2 3 48 3" xfId="11425"/>
    <cellStyle name="Dane wejściowe 2 3 49" xfId="11426"/>
    <cellStyle name="Dane wejściowe 2 3 49 2" xfId="11427"/>
    <cellStyle name="Dane wejściowe 2 3 49 3" xfId="11428"/>
    <cellStyle name="Dane wejściowe 2 3 5" xfId="11429"/>
    <cellStyle name="Dane wejściowe 2 3 5 2" xfId="11430"/>
    <cellStyle name="Dane wejściowe 2 3 5 3" xfId="11431"/>
    <cellStyle name="Dane wejściowe 2 3 5 4" xfId="11432"/>
    <cellStyle name="Dane wejściowe 2 3 50" xfId="11433"/>
    <cellStyle name="Dane wejściowe 2 3 50 2" xfId="11434"/>
    <cellStyle name="Dane wejściowe 2 3 50 3" xfId="11435"/>
    <cellStyle name="Dane wejściowe 2 3 51" xfId="11436"/>
    <cellStyle name="Dane wejściowe 2 3 51 2" xfId="11437"/>
    <cellStyle name="Dane wejściowe 2 3 51 3" xfId="11438"/>
    <cellStyle name="Dane wejściowe 2 3 52" xfId="11439"/>
    <cellStyle name="Dane wejściowe 2 3 52 2" xfId="11440"/>
    <cellStyle name="Dane wejściowe 2 3 52 3" xfId="11441"/>
    <cellStyle name="Dane wejściowe 2 3 53" xfId="11442"/>
    <cellStyle name="Dane wejściowe 2 3 53 2" xfId="11443"/>
    <cellStyle name="Dane wejściowe 2 3 53 3" xfId="11444"/>
    <cellStyle name="Dane wejściowe 2 3 54" xfId="11445"/>
    <cellStyle name="Dane wejściowe 2 3 54 2" xfId="11446"/>
    <cellStyle name="Dane wejściowe 2 3 54 3" xfId="11447"/>
    <cellStyle name="Dane wejściowe 2 3 55" xfId="11448"/>
    <cellStyle name="Dane wejściowe 2 3 55 2" xfId="11449"/>
    <cellStyle name="Dane wejściowe 2 3 55 3" xfId="11450"/>
    <cellStyle name="Dane wejściowe 2 3 56" xfId="11451"/>
    <cellStyle name="Dane wejściowe 2 3 56 2" xfId="11452"/>
    <cellStyle name="Dane wejściowe 2 3 56 3" xfId="11453"/>
    <cellStyle name="Dane wejściowe 2 3 57" xfId="11454"/>
    <cellStyle name="Dane wejściowe 2 3 58" xfId="11455"/>
    <cellStyle name="Dane wejściowe 2 3 6" xfId="11456"/>
    <cellStyle name="Dane wejściowe 2 3 6 2" xfId="11457"/>
    <cellStyle name="Dane wejściowe 2 3 6 3" xfId="11458"/>
    <cellStyle name="Dane wejściowe 2 3 6 4" xfId="11459"/>
    <cellStyle name="Dane wejściowe 2 3 7" xfId="11460"/>
    <cellStyle name="Dane wejściowe 2 3 7 2" xfId="11461"/>
    <cellStyle name="Dane wejściowe 2 3 7 3" xfId="11462"/>
    <cellStyle name="Dane wejściowe 2 3 7 4" xfId="11463"/>
    <cellStyle name="Dane wejściowe 2 3 8" xfId="11464"/>
    <cellStyle name="Dane wejściowe 2 3 8 2" xfId="11465"/>
    <cellStyle name="Dane wejściowe 2 3 8 3" xfId="11466"/>
    <cellStyle name="Dane wejściowe 2 3 8 4" xfId="11467"/>
    <cellStyle name="Dane wejściowe 2 3 9" xfId="11468"/>
    <cellStyle name="Dane wejściowe 2 3 9 2" xfId="11469"/>
    <cellStyle name="Dane wejściowe 2 3 9 3" xfId="11470"/>
    <cellStyle name="Dane wejściowe 2 3 9 4" xfId="11471"/>
    <cellStyle name="Dane wejściowe 2 30" xfId="11472"/>
    <cellStyle name="Dane wejściowe 2 30 2" xfId="11473"/>
    <cellStyle name="Dane wejściowe 2 30 3" xfId="11474"/>
    <cellStyle name="Dane wejściowe 2 30 4" xfId="11475"/>
    <cellStyle name="Dane wejściowe 2 31" xfId="11476"/>
    <cellStyle name="Dane wejściowe 2 31 2" xfId="11477"/>
    <cellStyle name="Dane wejściowe 2 31 3" xfId="11478"/>
    <cellStyle name="Dane wejściowe 2 31 4" xfId="11479"/>
    <cellStyle name="Dane wejściowe 2 32" xfId="11480"/>
    <cellStyle name="Dane wejściowe 2 32 2" xfId="11481"/>
    <cellStyle name="Dane wejściowe 2 32 3" xfId="11482"/>
    <cellStyle name="Dane wejściowe 2 32 4" xfId="11483"/>
    <cellStyle name="Dane wejściowe 2 33" xfId="11484"/>
    <cellStyle name="Dane wejściowe 2 33 2" xfId="11485"/>
    <cellStyle name="Dane wejściowe 2 33 3" xfId="11486"/>
    <cellStyle name="Dane wejściowe 2 33 4" xfId="11487"/>
    <cellStyle name="Dane wejściowe 2 34" xfId="11488"/>
    <cellStyle name="Dane wejściowe 2 34 2" xfId="11489"/>
    <cellStyle name="Dane wejściowe 2 34 3" xfId="11490"/>
    <cellStyle name="Dane wejściowe 2 34 4" xfId="11491"/>
    <cellStyle name="Dane wejściowe 2 35" xfId="11492"/>
    <cellStyle name="Dane wejściowe 2 35 2" xfId="11493"/>
    <cellStyle name="Dane wejściowe 2 35 3" xfId="11494"/>
    <cellStyle name="Dane wejściowe 2 35 4" xfId="11495"/>
    <cellStyle name="Dane wejściowe 2 36" xfId="11496"/>
    <cellStyle name="Dane wejściowe 2 36 2" xfId="11497"/>
    <cellStyle name="Dane wejściowe 2 36 3" xfId="11498"/>
    <cellStyle name="Dane wejściowe 2 36 4" xfId="11499"/>
    <cellStyle name="Dane wejściowe 2 37" xfId="11500"/>
    <cellStyle name="Dane wejściowe 2 37 2" xfId="11501"/>
    <cellStyle name="Dane wejściowe 2 37 3" xfId="11502"/>
    <cellStyle name="Dane wejściowe 2 37 4" xfId="11503"/>
    <cellStyle name="Dane wejściowe 2 38" xfId="11504"/>
    <cellStyle name="Dane wejściowe 2 38 2" xfId="11505"/>
    <cellStyle name="Dane wejściowe 2 38 3" xfId="11506"/>
    <cellStyle name="Dane wejściowe 2 38 4" xfId="11507"/>
    <cellStyle name="Dane wejściowe 2 39" xfId="11508"/>
    <cellStyle name="Dane wejściowe 2 39 2" xfId="11509"/>
    <cellStyle name="Dane wejściowe 2 39 3" xfId="11510"/>
    <cellStyle name="Dane wejściowe 2 39 4" xfId="11511"/>
    <cellStyle name="Dane wejściowe 2 4" xfId="11512"/>
    <cellStyle name="Dane wejściowe 2 4 10" xfId="11513"/>
    <cellStyle name="Dane wejściowe 2 4 10 2" xfId="11514"/>
    <cellStyle name="Dane wejściowe 2 4 10 3" xfId="11515"/>
    <cellStyle name="Dane wejściowe 2 4 10 4" xfId="11516"/>
    <cellStyle name="Dane wejściowe 2 4 11" xfId="11517"/>
    <cellStyle name="Dane wejściowe 2 4 11 2" xfId="11518"/>
    <cellStyle name="Dane wejściowe 2 4 11 3" xfId="11519"/>
    <cellStyle name="Dane wejściowe 2 4 11 4" xfId="11520"/>
    <cellStyle name="Dane wejściowe 2 4 12" xfId="11521"/>
    <cellStyle name="Dane wejściowe 2 4 12 2" xfId="11522"/>
    <cellStyle name="Dane wejściowe 2 4 12 3" xfId="11523"/>
    <cellStyle name="Dane wejściowe 2 4 12 4" xfId="11524"/>
    <cellStyle name="Dane wejściowe 2 4 13" xfId="11525"/>
    <cellStyle name="Dane wejściowe 2 4 13 2" xfId="11526"/>
    <cellStyle name="Dane wejściowe 2 4 13 3" xfId="11527"/>
    <cellStyle name="Dane wejściowe 2 4 13 4" xfId="11528"/>
    <cellStyle name="Dane wejściowe 2 4 14" xfId="11529"/>
    <cellStyle name="Dane wejściowe 2 4 14 2" xfId="11530"/>
    <cellStyle name="Dane wejściowe 2 4 14 3" xfId="11531"/>
    <cellStyle name="Dane wejściowe 2 4 14 4" xfId="11532"/>
    <cellStyle name="Dane wejściowe 2 4 15" xfId="11533"/>
    <cellStyle name="Dane wejściowe 2 4 15 2" xfId="11534"/>
    <cellStyle name="Dane wejściowe 2 4 15 3" xfId="11535"/>
    <cellStyle name="Dane wejściowe 2 4 15 4" xfId="11536"/>
    <cellStyle name="Dane wejściowe 2 4 16" xfId="11537"/>
    <cellStyle name="Dane wejściowe 2 4 16 2" xfId="11538"/>
    <cellStyle name="Dane wejściowe 2 4 16 3" xfId="11539"/>
    <cellStyle name="Dane wejściowe 2 4 16 4" xfId="11540"/>
    <cellStyle name="Dane wejściowe 2 4 17" xfId="11541"/>
    <cellStyle name="Dane wejściowe 2 4 17 2" xfId="11542"/>
    <cellStyle name="Dane wejściowe 2 4 17 3" xfId="11543"/>
    <cellStyle name="Dane wejściowe 2 4 17 4" xfId="11544"/>
    <cellStyle name="Dane wejściowe 2 4 18" xfId="11545"/>
    <cellStyle name="Dane wejściowe 2 4 18 2" xfId="11546"/>
    <cellStyle name="Dane wejściowe 2 4 18 3" xfId="11547"/>
    <cellStyle name="Dane wejściowe 2 4 18 4" xfId="11548"/>
    <cellStyle name="Dane wejściowe 2 4 19" xfId="11549"/>
    <cellStyle name="Dane wejściowe 2 4 19 2" xfId="11550"/>
    <cellStyle name="Dane wejściowe 2 4 19 3" xfId="11551"/>
    <cellStyle name="Dane wejściowe 2 4 19 4" xfId="11552"/>
    <cellStyle name="Dane wejściowe 2 4 2" xfId="11553"/>
    <cellStyle name="Dane wejściowe 2 4 2 2" xfId="11554"/>
    <cellStyle name="Dane wejściowe 2 4 2 3" xfId="11555"/>
    <cellStyle name="Dane wejściowe 2 4 2 4" xfId="11556"/>
    <cellStyle name="Dane wejściowe 2 4 20" xfId="11557"/>
    <cellStyle name="Dane wejściowe 2 4 20 2" xfId="11558"/>
    <cellStyle name="Dane wejściowe 2 4 20 3" xfId="11559"/>
    <cellStyle name="Dane wejściowe 2 4 20 4" xfId="11560"/>
    <cellStyle name="Dane wejściowe 2 4 21" xfId="11561"/>
    <cellStyle name="Dane wejściowe 2 4 21 2" xfId="11562"/>
    <cellStyle name="Dane wejściowe 2 4 21 3" xfId="11563"/>
    <cellStyle name="Dane wejściowe 2 4 22" xfId="11564"/>
    <cellStyle name="Dane wejściowe 2 4 22 2" xfId="11565"/>
    <cellStyle name="Dane wejściowe 2 4 22 3" xfId="11566"/>
    <cellStyle name="Dane wejściowe 2 4 23" xfId="11567"/>
    <cellStyle name="Dane wejściowe 2 4 23 2" xfId="11568"/>
    <cellStyle name="Dane wejściowe 2 4 23 3" xfId="11569"/>
    <cellStyle name="Dane wejściowe 2 4 24" xfId="11570"/>
    <cellStyle name="Dane wejściowe 2 4 24 2" xfId="11571"/>
    <cellStyle name="Dane wejściowe 2 4 24 3" xfId="11572"/>
    <cellStyle name="Dane wejściowe 2 4 25" xfId="11573"/>
    <cellStyle name="Dane wejściowe 2 4 25 2" xfId="11574"/>
    <cellStyle name="Dane wejściowe 2 4 25 3" xfId="11575"/>
    <cellStyle name="Dane wejściowe 2 4 26" xfId="11576"/>
    <cellStyle name="Dane wejściowe 2 4 26 2" xfId="11577"/>
    <cellStyle name="Dane wejściowe 2 4 26 3" xfId="11578"/>
    <cellStyle name="Dane wejściowe 2 4 27" xfId="11579"/>
    <cellStyle name="Dane wejściowe 2 4 27 2" xfId="11580"/>
    <cellStyle name="Dane wejściowe 2 4 27 3" xfId="11581"/>
    <cellStyle name="Dane wejściowe 2 4 28" xfId="11582"/>
    <cellStyle name="Dane wejściowe 2 4 28 2" xfId="11583"/>
    <cellStyle name="Dane wejściowe 2 4 28 3" xfId="11584"/>
    <cellStyle name="Dane wejściowe 2 4 29" xfId="11585"/>
    <cellStyle name="Dane wejściowe 2 4 29 2" xfId="11586"/>
    <cellStyle name="Dane wejściowe 2 4 29 3" xfId="11587"/>
    <cellStyle name="Dane wejściowe 2 4 3" xfId="11588"/>
    <cellStyle name="Dane wejściowe 2 4 3 2" xfId="11589"/>
    <cellStyle name="Dane wejściowe 2 4 3 3" xfId="11590"/>
    <cellStyle name="Dane wejściowe 2 4 3 4" xfId="11591"/>
    <cellStyle name="Dane wejściowe 2 4 30" xfId="11592"/>
    <cellStyle name="Dane wejściowe 2 4 30 2" xfId="11593"/>
    <cellStyle name="Dane wejściowe 2 4 30 3" xfId="11594"/>
    <cellStyle name="Dane wejściowe 2 4 31" xfId="11595"/>
    <cellStyle name="Dane wejściowe 2 4 31 2" xfId="11596"/>
    <cellStyle name="Dane wejściowe 2 4 31 3" xfId="11597"/>
    <cellStyle name="Dane wejściowe 2 4 32" xfId="11598"/>
    <cellStyle name="Dane wejściowe 2 4 32 2" xfId="11599"/>
    <cellStyle name="Dane wejściowe 2 4 32 3" xfId="11600"/>
    <cellStyle name="Dane wejściowe 2 4 33" xfId="11601"/>
    <cellStyle name="Dane wejściowe 2 4 33 2" xfId="11602"/>
    <cellStyle name="Dane wejściowe 2 4 33 3" xfId="11603"/>
    <cellStyle name="Dane wejściowe 2 4 34" xfId="11604"/>
    <cellStyle name="Dane wejściowe 2 4 34 2" xfId="11605"/>
    <cellStyle name="Dane wejściowe 2 4 34 3" xfId="11606"/>
    <cellStyle name="Dane wejściowe 2 4 35" xfId="11607"/>
    <cellStyle name="Dane wejściowe 2 4 35 2" xfId="11608"/>
    <cellStyle name="Dane wejściowe 2 4 35 3" xfId="11609"/>
    <cellStyle name="Dane wejściowe 2 4 36" xfId="11610"/>
    <cellStyle name="Dane wejściowe 2 4 36 2" xfId="11611"/>
    <cellStyle name="Dane wejściowe 2 4 36 3" xfId="11612"/>
    <cellStyle name="Dane wejściowe 2 4 37" xfId="11613"/>
    <cellStyle name="Dane wejściowe 2 4 37 2" xfId="11614"/>
    <cellStyle name="Dane wejściowe 2 4 37 3" xfId="11615"/>
    <cellStyle name="Dane wejściowe 2 4 38" xfId="11616"/>
    <cellStyle name="Dane wejściowe 2 4 38 2" xfId="11617"/>
    <cellStyle name="Dane wejściowe 2 4 38 3" xfId="11618"/>
    <cellStyle name="Dane wejściowe 2 4 39" xfId="11619"/>
    <cellStyle name="Dane wejściowe 2 4 39 2" xfId="11620"/>
    <cellStyle name="Dane wejściowe 2 4 39 3" xfId="11621"/>
    <cellStyle name="Dane wejściowe 2 4 4" xfId="11622"/>
    <cellStyle name="Dane wejściowe 2 4 4 2" xfId="11623"/>
    <cellStyle name="Dane wejściowe 2 4 4 3" xfId="11624"/>
    <cellStyle name="Dane wejściowe 2 4 4 4" xfId="11625"/>
    <cellStyle name="Dane wejściowe 2 4 40" xfId="11626"/>
    <cellStyle name="Dane wejściowe 2 4 40 2" xfId="11627"/>
    <cellStyle name="Dane wejściowe 2 4 40 3" xfId="11628"/>
    <cellStyle name="Dane wejściowe 2 4 41" xfId="11629"/>
    <cellStyle name="Dane wejściowe 2 4 41 2" xfId="11630"/>
    <cellStyle name="Dane wejściowe 2 4 41 3" xfId="11631"/>
    <cellStyle name="Dane wejściowe 2 4 42" xfId="11632"/>
    <cellStyle name="Dane wejściowe 2 4 42 2" xfId="11633"/>
    <cellStyle name="Dane wejściowe 2 4 42 3" xfId="11634"/>
    <cellStyle name="Dane wejściowe 2 4 43" xfId="11635"/>
    <cellStyle name="Dane wejściowe 2 4 43 2" xfId="11636"/>
    <cellStyle name="Dane wejściowe 2 4 43 3" xfId="11637"/>
    <cellStyle name="Dane wejściowe 2 4 44" xfId="11638"/>
    <cellStyle name="Dane wejściowe 2 4 44 2" xfId="11639"/>
    <cellStyle name="Dane wejściowe 2 4 44 3" xfId="11640"/>
    <cellStyle name="Dane wejściowe 2 4 45" xfId="11641"/>
    <cellStyle name="Dane wejściowe 2 4 45 2" xfId="11642"/>
    <cellStyle name="Dane wejściowe 2 4 45 3" xfId="11643"/>
    <cellStyle name="Dane wejściowe 2 4 46" xfId="11644"/>
    <cellStyle name="Dane wejściowe 2 4 46 2" xfId="11645"/>
    <cellStyle name="Dane wejściowe 2 4 46 3" xfId="11646"/>
    <cellStyle name="Dane wejściowe 2 4 47" xfId="11647"/>
    <cellStyle name="Dane wejściowe 2 4 47 2" xfId="11648"/>
    <cellStyle name="Dane wejściowe 2 4 47 3" xfId="11649"/>
    <cellStyle name="Dane wejściowe 2 4 48" xfId="11650"/>
    <cellStyle name="Dane wejściowe 2 4 48 2" xfId="11651"/>
    <cellStyle name="Dane wejściowe 2 4 48 3" xfId="11652"/>
    <cellStyle name="Dane wejściowe 2 4 49" xfId="11653"/>
    <cellStyle name="Dane wejściowe 2 4 49 2" xfId="11654"/>
    <cellStyle name="Dane wejściowe 2 4 49 3" xfId="11655"/>
    <cellStyle name="Dane wejściowe 2 4 5" xfId="11656"/>
    <cellStyle name="Dane wejściowe 2 4 5 2" xfId="11657"/>
    <cellStyle name="Dane wejściowe 2 4 5 3" xfId="11658"/>
    <cellStyle name="Dane wejściowe 2 4 5 4" xfId="11659"/>
    <cellStyle name="Dane wejściowe 2 4 50" xfId="11660"/>
    <cellStyle name="Dane wejściowe 2 4 50 2" xfId="11661"/>
    <cellStyle name="Dane wejściowe 2 4 50 3" xfId="11662"/>
    <cellStyle name="Dane wejściowe 2 4 51" xfId="11663"/>
    <cellStyle name="Dane wejściowe 2 4 51 2" xfId="11664"/>
    <cellStyle name="Dane wejściowe 2 4 51 3" xfId="11665"/>
    <cellStyle name="Dane wejściowe 2 4 52" xfId="11666"/>
    <cellStyle name="Dane wejściowe 2 4 52 2" xfId="11667"/>
    <cellStyle name="Dane wejściowe 2 4 52 3" xfId="11668"/>
    <cellStyle name="Dane wejściowe 2 4 53" xfId="11669"/>
    <cellStyle name="Dane wejściowe 2 4 53 2" xfId="11670"/>
    <cellStyle name="Dane wejściowe 2 4 53 3" xfId="11671"/>
    <cellStyle name="Dane wejściowe 2 4 54" xfId="11672"/>
    <cellStyle name="Dane wejściowe 2 4 54 2" xfId="11673"/>
    <cellStyle name="Dane wejściowe 2 4 54 3" xfId="11674"/>
    <cellStyle name="Dane wejściowe 2 4 55" xfId="11675"/>
    <cellStyle name="Dane wejściowe 2 4 55 2" xfId="11676"/>
    <cellStyle name="Dane wejściowe 2 4 55 3" xfId="11677"/>
    <cellStyle name="Dane wejściowe 2 4 56" xfId="11678"/>
    <cellStyle name="Dane wejściowe 2 4 56 2" xfId="11679"/>
    <cellStyle name="Dane wejściowe 2 4 56 3" xfId="11680"/>
    <cellStyle name="Dane wejściowe 2 4 57" xfId="11681"/>
    <cellStyle name="Dane wejściowe 2 4 58" xfId="11682"/>
    <cellStyle name="Dane wejściowe 2 4 6" xfId="11683"/>
    <cellStyle name="Dane wejściowe 2 4 6 2" xfId="11684"/>
    <cellStyle name="Dane wejściowe 2 4 6 3" xfId="11685"/>
    <cellStyle name="Dane wejściowe 2 4 6 4" xfId="11686"/>
    <cellStyle name="Dane wejściowe 2 4 7" xfId="11687"/>
    <cellStyle name="Dane wejściowe 2 4 7 2" xfId="11688"/>
    <cellStyle name="Dane wejściowe 2 4 7 3" xfId="11689"/>
    <cellStyle name="Dane wejściowe 2 4 7 4" xfId="11690"/>
    <cellStyle name="Dane wejściowe 2 4 8" xfId="11691"/>
    <cellStyle name="Dane wejściowe 2 4 8 2" xfId="11692"/>
    <cellStyle name="Dane wejściowe 2 4 8 3" xfId="11693"/>
    <cellStyle name="Dane wejściowe 2 4 8 4" xfId="11694"/>
    <cellStyle name="Dane wejściowe 2 4 9" xfId="11695"/>
    <cellStyle name="Dane wejściowe 2 4 9 2" xfId="11696"/>
    <cellStyle name="Dane wejściowe 2 4 9 3" xfId="11697"/>
    <cellStyle name="Dane wejściowe 2 4 9 4" xfId="11698"/>
    <cellStyle name="Dane wejściowe 2 40" xfId="11699"/>
    <cellStyle name="Dane wejściowe 2 40 2" xfId="11700"/>
    <cellStyle name="Dane wejściowe 2 40 3" xfId="11701"/>
    <cellStyle name="Dane wejściowe 2 40 4" xfId="11702"/>
    <cellStyle name="Dane wejściowe 2 41" xfId="11703"/>
    <cellStyle name="Dane wejściowe 2 41 2" xfId="11704"/>
    <cellStyle name="Dane wejściowe 2 41 3" xfId="11705"/>
    <cellStyle name="Dane wejściowe 2 41 4" xfId="11706"/>
    <cellStyle name="Dane wejściowe 2 42" xfId="11707"/>
    <cellStyle name="Dane wejściowe 2 42 2" xfId="11708"/>
    <cellStyle name="Dane wejściowe 2 42 3" xfId="11709"/>
    <cellStyle name="Dane wejściowe 2 42 4" xfId="11710"/>
    <cellStyle name="Dane wejściowe 2 43" xfId="11711"/>
    <cellStyle name="Dane wejściowe 2 43 2" xfId="11712"/>
    <cellStyle name="Dane wejściowe 2 43 3" xfId="11713"/>
    <cellStyle name="Dane wejściowe 2 43 4" xfId="11714"/>
    <cellStyle name="Dane wejściowe 2 44" xfId="11715"/>
    <cellStyle name="Dane wejściowe 2 44 2" xfId="11716"/>
    <cellStyle name="Dane wejściowe 2 44 3" xfId="11717"/>
    <cellStyle name="Dane wejściowe 2 44 4" xfId="11718"/>
    <cellStyle name="Dane wejściowe 2 45" xfId="11719"/>
    <cellStyle name="Dane wejściowe 2 45 2" xfId="11720"/>
    <cellStyle name="Dane wejściowe 2 45 3" xfId="11721"/>
    <cellStyle name="Dane wejściowe 2 45 4" xfId="11722"/>
    <cellStyle name="Dane wejściowe 2 46" xfId="11723"/>
    <cellStyle name="Dane wejściowe 2 46 2" xfId="11724"/>
    <cellStyle name="Dane wejściowe 2 46 3" xfId="11725"/>
    <cellStyle name="Dane wejściowe 2 46 4" xfId="11726"/>
    <cellStyle name="Dane wejściowe 2 47" xfId="11727"/>
    <cellStyle name="Dane wejściowe 2 47 2" xfId="11728"/>
    <cellStyle name="Dane wejściowe 2 47 3" xfId="11729"/>
    <cellStyle name="Dane wejściowe 2 47 4" xfId="11730"/>
    <cellStyle name="Dane wejściowe 2 48" xfId="11731"/>
    <cellStyle name="Dane wejściowe 2 48 2" xfId="11732"/>
    <cellStyle name="Dane wejściowe 2 48 3" xfId="11733"/>
    <cellStyle name="Dane wejściowe 2 49" xfId="11734"/>
    <cellStyle name="Dane wejściowe 2 49 2" xfId="11735"/>
    <cellStyle name="Dane wejściowe 2 49 3" xfId="11736"/>
    <cellStyle name="Dane wejściowe 2 5" xfId="11737"/>
    <cellStyle name="Dane wejściowe 2 5 10" xfId="11738"/>
    <cellStyle name="Dane wejściowe 2 5 10 2" xfId="11739"/>
    <cellStyle name="Dane wejściowe 2 5 10 3" xfId="11740"/>
    <cellStyle name="Dane wejściowe 2 5 10 4" xfId="11741"/>
    <cellStyle name="Dane wejściowe 2 5 11" xfId="11742"/>
    <cellStyle name="Dane wejściowe 2 5 11 2" xfId="11743"/>
    <cellStyle name="Dane wejściowe 2 5 11 3" xfId="11744"/>
    <cellStyle name="Dane wejściowe 2 5 11 4" xfId="11745"/>
    <cellStyle name="Dane wejściowe 2 5 12" xfId="11746"/>
    <cellStyle name="Dane wejściowe 2 5 12 2" xfId="11747"/>
    <cellStyle name="Dane wejściowe 2 5 12 3" xfId="11748"/>
    <cellStyle name="Dane wejściowe 2 5 12 4" xfId="11749"/>
    <cellStyle name="Dane wejściowe 2 5 13" xfId="11750"/>
    <cellStyle name="Dane wejściowe 2 5 13 2" xfId="11751"/>
    <cellStyle name="Dane wejściowe 2 5 13 3" xfId="11752"/>
    <cellStyle name="Dane wejściowe 2 5 13 4" xfId="11753"/>
    <cellStyle name="Dane wejściowe 2 5 14" xfId="11754"/>
    <cellStyle name="Dane wejściowe 2 5 14 2" xfId="11755"/>
    <cellStyle name="Dane wejściowe 2 5 14 3" xfId="11756"/>
    <cellStyle name="Dane wejściowe 2 5 14 4" xfId="11757"/>
    <cellStyle name="Dane wejściowe 2 5 15" xfId="11758"/>
    <cellStyle name="Dane wejściowe 2 5 15 2" xfId="11759"/>
    <cellStyle name="Dane wejściowe 2 5 15 3" xfId="11760"/>
    <cellStyle name="Dane wejściowe 2 5 15 4" xfId="11761"/>
    <cellStyle name="Dane wejściowe 2 5 16" xfId="11762"/>
    <cellStyle name="Dane wejściowe 2 5 16 2" xfId="11763"/>
    <cellStyle name="Dane wejściowe 2 5 16 3" xfId="11764"/>
    <cellStyle name="Dane wejściowe 2 5 16 4" xfId="11765"/>
    <cellStyle name="Dane wejściowe 2 5 17" xfId="11766"/>
    <cellStyle name="Dane wejściowe 2 5 17 2" xfId="11767"/>
    <cellStyle name="Dane wejściowe 2 5 17 3" xfId="11768"/>
    <cellStyle name="Dane wejściowe 2 5 17 4" xfId="11769"/>
    <cellStyle name="Dane wejściowe 2 5 18" xfId="11770"/>
    <cellStyle name="Dane wejściowe 2 5 18 2" xfId="11771"/>
    <cellStyle name="Dane wejściowe 2 5 18 3" xfId="11772"/>
    <cellStyle name="Dane wejściowe 2 5 18 4" xfId="11773"/>
    <cellStyle name="Dane wejściowe 2 5 19" xfId="11774"/>
    <cellStyle name="Dane wejściowe 2 5 19 2" xfId="11775"/>
    <cellStyle name="Dane wejściowe 2 5 19 3" xfId="11776"/>
    <cellStyle name="Dane wejściowe 2 5 19 4" xfId="11777"/>
    <cellStyle name="Dane wejściowe 2 5 2" xfId="11778"/>
    <cellStyle name="Dane wejściowe 2 5 2 2" xfId="11779"/>
    <cellStyle name="Dane wejściowe 2 5 2 3" xfId="11780"/>
    <cellStyle name="Dane wejściowe 2 5 2 4" xfId="11781"/>
    <cellStyle name="Dane wejściowe 2 5 20" xfId="11782"/>
    <cellStyle name="Dane wejściowe 2 5 20 2" xfId="11783"/>
    <cellStyle name="Dane wejściowe 2 5 20 3" xfId="11784"/>
    <cellStyle name="Dane wejściowe 2 5 20 4" xfId="11785"/>
    <cellStyle name="Dane wejściowe 2 5 21" xfId="11786"/>
    <cellStyle name="Dane wejściowe 2 5 21 2" xfId="11787"/>
    <cellStyle name="Dane wejściowe 2 5 21 3" xfId="11788"/>
    <cellStyle name="Dane wejściowe 2 5 22" xfId="11789"/>
    <cellStyle name="Dane wejściowe 2 5 22 2" xfId="11790"/>
    <cellStyle name="Dane wejściowe 2 5 22 3" xfId="11791"/>
    <cellStyle name="Dane wejściowe 2 5 23" xfId="11792"/>
    <cellStyle name="Dane wejściowe 2 5 23 2" xfId="11793"/>
    <cellStyle name="Dane wejściowe 2 5 23 3" xfId="11794"/>
    <cellStyle name="Dane wejściowe 2 5 24" xfId="11795"/>
    <cellStyle name="Dane wejściowe 2 5 24 2" xfId="11796"/>
    <cellStyle name="Dane wejściowe 2 5 24 3" xfId="11797"/>
    <cellStyle name="Dane wejściowe 2 5 25" xfId="11798"/>
    <cellStyle name="Dane wejściowe 2 5 25 2" xfId="11799"/>
    <cellStyle name="Dane wejściowe 2 5 25 3" xfId="11800"/>
    <cellStyle name="Dane wejściowe 2 5 26" xfId="11801"/>
    <cellStyle name="Dane wejściowe 2 5 26 2" xfId="11802"/>
    <cellStyle name="Dane wejściowe 2 5 26 3" xfId="11803"/>
    <cellStyle name="Dane wejściowe 2 5 27" xfId="11804"/>
    <cellStyle name="Dane wejściowe 2 5 27 2" xfId="11805"/>
    <cellStyle name="Dane wejściowe 2 5 27 3" xfId="11806"/>
    <cellStyle name="Dane wejściowe 2 5 28" xfId="11807"/>
    <cellStyle name="Dane wejściowe 2 5 28 2" xfId="11808"/>
    <cellStyle name="Dane wejściowe 2 5 28 3" xfId="11809"/>
    <cellStyle name="Dane wejściowe 2 5 29" xfId="11810"/>
    <cellStyle name="Dane wejściowe 2 5 29 2" xfId="11811"/>
    <cellStyle name="Dane wejściowe 2 5 29 3" xfId="11812"/>
    <cellStyle name="Dane wejściowe 2 5 3" xfId="11813"/>
    <cellStyle name="Dane wejściowe 2 5 3 2" xfId="11814"/>
    <cellStyle name="Dane wejściowe 2 5 3 3" xfId="11815"/>
    <cellStyle name="Dane wejściowe 2 5 3 4" xfId="11816"/>
    <cellStyle name="Dane wejściowe 2 5 30" xfId="11817"/>
    <cellStyle name="Dane wejściowe 2 5 30 2" xfId="11818"/>
    <cellStyle name="Dane wejściowe 2 5 30 3" xfId="11819"/>
    <cellStyle name="Dane wejściowe 2 5 31" xfId="11820"/>
    <cellStyle name="Dane wejściowe 2 5 31 2" xfId="11821"/>
    <cellStyle name="Dane wejściowe 2 5 31 3" xfId="11822"/>
    <cellStyle name="Dane wejściowe 2 5 32" xfId="11823"/>
    <cellStyle name="Dane wejściowe 2 5 32 2" xfId="11824"/>
    <cellStyle name="Dane wejściowe 2 5 32 3" xfId="11825"/>
    <cellStyle name="Dane wejściowe 2 5 33" xfId="11826"/>
    <cellStyle name="Dane wejściowe 2 5 33 2" xfId="11827"/>
    <cellStyle name="Dane wejściowe 2 5 33 3" xfId="11828"/>
    <cellStyle name="Dane wejściowe 2 5 34" xfId="11829"/>
    <cellStyle name="Dane wejściowe 2 5 34 2" xfId="11830"/>
    <cellStyle name="Dane wejściowe 2 5 34 3" xfId="11831"/>
    <cellStyle name="Dane wejściowe 2 5 35" xfId="11832"/>
    <cellStyle name="Dane wejściowe 2 5 35 2" xfId="11833"/>
    <cellStyle name="Dane wejściowe 2 5 35 3" xfId="11834"/>
    <cellStyle name="Dane wejściowe 2 5 36" xfId="11835"/>
    <cellStyle name="Dane wejściowe 2 5 36 2" xfId="11836"/>
    <cellStyle name="Dane wejściowe 2 5 36 3" xfId="11837"/>
    <cellStyle name="Dane wejściowe 2 5 37" xfId="11838"/>
    <cellStyle name="Dane wejściowe 2 5 37 2" xfId="11839"/>
    <cellStyle name="Dane wejściowe 2 5 37 3" xfId="11840"/>
    <cellStyle name="Dane wejściowe 2 5 38" xfId="11841"/>
    <cellStyle name="Dane wejściowe 2 5 38 2" xfId="11842"/>
    <cellStyle name="Dane wejściowe 2 5 38 3" xfId="11843"/>
    <cellStyle name="Dane wejściowe 2 5 39" xfId="11844"/>
    <cellStyle name="Dane wejściowe 2 5 39 2" xfId="11845"/>
    <cellStyle name="Dane wejściowe 2 5 39 3" xfId="11846"/>
    <cellStyle name="Dane wejściowe 2 5 4" xfId="11847"/>
    <cellStyle name="Dane wejściowe 2 5 4 2" xfId="11848"/>
    <cellStyle name="Dane wejściowe 2 5 4 3" xfId="11849"/>
    <cellStyle name="Dane wejściowe 2 5 4 4" xfId="11850"/>
    <cellStyle name="Dane wejściowe 2 5 40" xfId="11851"/>
    <cellStyle name="Dane wejściowe 2 5 40 2" xfId="11852"/>
    <cellStyle name="Dane wejściowe 2 5 40 3" xfId="11853"/>
    <cellStyle name="Dane wejściowe 2 5 41" xfId="11854"/>
    <cellStyle name="Dane wejściowe 2 5 41 2" xfId="11855"/>
    <cellStyle name="Dane wejściowe 2 5 41 3" xfId="11856"/>
    <cellStyle name="Dane wejściowe 2 5 42" xfId="11857"/>
    <cellStyle name="Dane wejściowe 2 5 42 2" xfId="11858"/>
    <cellStyle name="Dane wejściowe 2 5 42 3" xfId="11859"/>
    <cellStyle name="Dane wejściowe 2 5 43" xfId="11860"/>
    <cellStyle name="Dane wejściowe 2 5 43 2" xfId="11861"/>
    <cellStyle name="Dane wejściowe 2 5 43 3" xfId="11862"/>
    <cellStyle name="Dane wejściowe 2 5 44" xfId="11863"/>
    <cellStyle name="Dane wejściowe 2 5 44 2" xfId="11864"/>
    <cellStyle name="Dane wejściowe 2 5 44 3" xfId="11865"/>
    <cellStyle name="Dane wejściowe 2 5 45" xfId="11866"/>
    <cellStyle name="Dane wejściowe 2 5 45 2" xfId="11867"/>
    <cellStyle name="Dane wejściowe 2 5 45 3" xfId="11868"/>
    <cellStyle name="Dane wejściowe 2 5 46" xfId="11869"/>
    <cellStyle name="Dane wejściowe 2 5 46 2" xfId="11870"/>
    <cellStyle name="Dane wejściowe 2 5 46 3" xfId="11871"/>
    <cellStyle name="Dane wejściowe 2 5 47" xfId="11872"/>
    <cellStyle name="Dane wejściowe 2 5 47 2" xfId="11873"/>
    <cellStyle name="Dane wejściowe 2 5 47 3" xfId="11874"/>
    <cellStyle name="Dane wejściowe 2 5 48" xfId="11875"/>
    <cellStyle name="Dane wejściowe 2 5 48 2" xfId="11876"/>
    <cellStyle name="Dane wejściowe 2 5 48 3" xfId="11877"/>
    <cellStyle name="Dane wejściowe 2 5 49" xfId="11878"/>
    <cellStyle name="Dane wejściowe 2 5 49 2" xfId="11879"/>
    <cellStyle name="Dane wejściowe 2 5 49 3" xfId="11880"/>
    <cellStyle name="Dane wejściowe 2 5 5" xfId="11881"/>
    <cellStyle name="Dane wejściowe 2 5 5 2" xfId="11882"/>
    <cellStyle name="Dane wejściowe 2 5 5 3" xfId="11883"/>
    <cellStyle name="Dane wejściowe 2 5 5 4" xfId="11884"/>
    <cellStyle name="Dane wejściowe 2 5 50" xfId="11885"/>
    <cellStyle name="Dane wejściowe 2 5 50 2" xfId="11886"/>
    <cellStyle name="Dane wejściowe 2 5 50 3" xfId="11887"/>
    <cellStyle name="Dane wejściowe 2 5 51" xfId="11888"/>
    <cellStyle name="Dane wejściowe 2 5 51 2" xfId="11889"/>
    <cellStyle name="Dane wejściowe 2 5 51 3" xfId="11890"/>
    <cellStyle name="Dane wejściowe 2 5 52" xfId="11891"/>
    <cellStyle name="Dane wejściowe 2 5 52 2" xfId="11892"/>
    <cellStyle name="Dane wejściowe 2 5 52 3" xfId="11893"/>
    <cellStyle name="Dane wejściowe 2 5 53" xfId="11894"/>
    <cellStyle name="Dane wejściowe 2 5 53 2" xfId="11895"/>
    <cellStyle name="Dane wejściowe 2 5 53 3" xfId="11896"/>
    <cellStyle name="Dane wejściowe 2 5 54" xfId="11897"/>
    <cellStyle name="Dane wejściowe 2 5 54 2" xfId="11898"/>
    <cellStyle name="Dane wejściowe 2 5 54 3" xfId="11899"/>
    <cellStyle name="Dane wejściowe 2 5 55" xfId="11900"/>
    <cellStyle name="Dane wejściowe 2 5 55 2" xfId="11901"/>
    <cellStyle name="Dane wejściowe 2 5 55 3" xfId="11902"/>
    <cellStyle name="Dane wejściowe 2 5 56" xfId="11903"/>
    <cellStyle name="Dane wejściowe 2 5 56 2" xfId="11904"/>
    <cellStyle name="Dane wejściowe 2 5 56 3" xfId="11905"/>
    <cellStyle name="Dane wejściowe 2 5 57" xfId="11906"/>
    <cellStyle name="Dane wejściowe 2 5 58" xfId="11907"/>
    <cellStyle name="Dane wejściowe 2 5 6" xfId="11908"/>
    <cellStyle name="Dane wejściowe 2 5 6 2" xfId="11909"/>
    <cellStyle name="Dane wejściowe 2 5 6 3" xfId="11910"/>
    <cellStyle name="Dane wejściowe 2 5 6 4" xfId="11911"/>
    <cellStyle name="Dane wejściowe 2 5 7" xfId="11912"/>
    <cellStyle name="Dane wejściowe 2 5 7 2" xfId="11913"/>
    <cellStyle name="Dane wejściowe 2 5 7 3" xfId="11914"/>
    <cellStyle name="Dane wejściowe 2 5 7 4" xfId="11915"/>
    <cellStyle name="Dane wejściowe 2 5 8" xfId="11916"/>
    <cellStyle name="Dane wejściowe 2 5 8 2" xfId="11917"/>
    <cellStyle name="Dane wejściowe 2 5 8 3" xfId="11918"/>
    <cellStyle name="Dane wejściowe 2 5 8 4" xfId="11919"/>
    <cellStyle name="Dane wejściowe 2 5 9" xfId="11920"/>
    <cellStyle name="Dane wejściowe 2 5 9 2" xfId="11921"/>
    <cellStyle name="Dane wejściowe 2 5 9 3" xfId="11922"/>
    <cellStyle name="Dane wejściowe 2 5 9 4" xfId="11923"/>
    <cellStyle name="Dane wejściowe 2 50" xfId="11924"/>
    <cellStyle name="Dane wejściowe 2 50 2" xfId="11925"/>
    <cellStyle name="Dane wejściowe 2 50 3" xfId="11926"/>
    <cellStyle name="Dane wejściowe 2 51" xfId="11927"/>
    <cellStyle name="Dane wejściowe 2 51 2" xfId="11928"/>
    <cellStyle name="Dane wejściowe 2 51 3" xfId="11929"/>
    <cellStyle name="Dane wejściowe 2 52" xfId="11930"/>
    <cellStyle name="Dane wejściowe 2 52 2" xfId="11931"/>
    <cellStyle name="Dane wejściowe 2 52 3" xfId="11932"/>
    <cellStyle name="Dane wejściowe 2 53" xfId="11933"/>
    <cellStyle name="Dane wejściowe 2 53 2" xfId="11934"/>
    <cellStyle name="Dane wejściowe 2 53 3" xfId="11935"/>
    <cellStyle name="Dane wejściowe 2 54" xfId="11936"/>
    <cellStyle name="Dane wejściowe 2 54 2" xfId="11937"/>
    <cellStyle name="Dane wejściowe 2 54 3" xfId="11938"/>
    <cellStyle name="Dane wejściowe 2 55" xfId="11939"/>
    <cellStyle name="Dane wejściowe 2 55 2" xfId="11940"/>
    <cellStyle name="Dane wejściowe 2 55 3" xfId="11941"/>
    <cellStyle name="Dane wejściowe 2 56" xfId="11942"/>
    <cellStyle name="Dane wejściowe 2 56 2" xfId="11943"/>
    <cellStyle name="Dane wejściowe 2 56 3" xfId="11944"/>
    <cellStyle name="Dane wejściowe 2 57" xfId="11945"/>
    <cellStyle name="Dane wejściowe 2 57 2" xfId="11946"/>
    <cellStyle name="Dane wejściowe 2 57 3" xfId="11947"/>
    <cellStyle name="Dane wejściowe 2 58" xfId="11948"/>
    <cellStyle name="Dane wejściowe 2 58 2" xfId="11949"/>
    <cellStyle name="Dane wejściowe 2 58 3" xfId="11950"/>
    <cellStyle name="Dane wejściowe 2 59" xfId="11951"/>
    <cellStyle name="Dane wejściowe 2 59 2" xfId="11952"/>
    <cellStyle name="Dane wejściowe 2 59 3" xfId="11953"/>
    <cellStyle name="Dane wejściowe 2 6" xfId="11954"/>
    <cellStyle name="Dane wejściowe 2 6 10" xfId="11955"/>
    <cellStyle name="Dane wejściowe 2 6 10 2" xfId="11956"/>
    <cellStyle name="Dane wejściowe 2 6 10 3" xfId="11957"/>
    <cellStyle name="Dane wejściowe 2 6 10 4" xfId="11958"/>
    <cellStyle name="Dane wejściowe 2 6 11" xfId="11959"/>
    <cellStyle name="Dane wejściowe 2 6 11 2" xfId="11960"/>
    <cellStyle name="Dane wejściowe 2 6 11 3" xfId="11961"/>
    <cellStyle name="Dane wejściowe 2 6 11 4" xfId="11962"/>
    <cellStyle name="Dane wejściowe 2 6 12" xfId="11963"/>
    <cellStyle name="Dane wejściowe 2 6 12 2" xfId="11964"/>
    <cellStyle name="Dane wejściowe 2 6 12 3" xfId="11965"/>
    <cellStyle name="Dane wejściowe 2 6 12 4" xfId="11966"/>
    <cellStyle name="Dane wejściowe 2 6 13" xfId="11967"/>
    <cellStyle name="Dane wejściowe 2 6 13 2" xfId="11968"/>
    <cellStyle name="Dane wejściowe 2 6 13 3" xfId="11969"/>
    <cellStyle name="Dane wejściowe 2 6 13 4" xfId="11970"/>
    <cellStyle name="Dane wejściowe 2 6 14" xfId="11971"/>
    <cellStyle name="Dane wejściowe 2 6 14 2" xfId="11972"/>
    <cellStyle name="Dane wejściowe 2 6 14 3" xfId="11973"/>
    <cellStyle name="Dane wejściowe 2 6 14 4" xfId="11974"/>
    <cellStyle name="Dane wejściowe 2 6 15" xfId="11975"/>
    <cellStyle name="Dane wejściowe 2 6 15 2" xfId="11976"/>
    <cellStyle name="Dane wejściowe 2 6 15 3" xfId="11977"/>
    <cellStyle name="Dane wejściowe 2 6 15 4" xfId="11978"/>
    <cellStyle name="Dane wejściowe 2 6 16" xfId="11979"/>
    <cellStyle name="Dane wejściowe 2 6 16 2" xfId="11980"/>
    <cellStyle name="Dane wejściowe 2 6 16 3" xfId="11981"/>
    <cellStyle name="Dane wejściowe 2 6 16 4" xfId="11982"/>
    <cellStyle name="Dane wejściowe 2 6 17" xfId="11983"/>
    <cellStyle name="Dane wejściowe 2 6 17 2" xfId="11984"/>
    <cellStyle name="Dane wejściowe 2 6 17 3" xfId="11985"/>
    <cellStyle name="Dane wejściowe 2 6 17 4" xfId="11986"/>
    <cellStyle name="Dane wejściowe 2 6 18" xfId="11987"/>
    <cellStyle name="Dane wejściowe 2 6 18 2" xfId="11988"/>
    <cellStyle name="Dane wejściowe 2 6 18 3" xfId="11989"/>
    <cellStyle name="Dane wejściowe 2 6 18 4" xfId="11990"/>
    <cellStyle name="Dane wejściowe 2 6 19" xfId="11991"/>
    <cellStyle name="Dane wejściowe 2 6 19 2" xfId="11992"/>
    <cellStyle name="Dane wejściowe 2 6 19 3" xfId="11993"/>
    <cellStyle name="Dane wejściowe 2 6 19 4" xfId="11994"/>
    <cellStyle name="Dane wejściowe 2 6 2" xfId="11995"/>
    <cellStyle name="Dane wejściowe 2 6 2 2" xfId="11996"/>
    <cellStyle name="Dane wejściowe 2 6 2 3" xfId="11997"/>
    <cellStyle name="Dane wejściowe 2 6 2 4" xfId="11998"/>
    <cellStyle name="Dane wejściowe 2 6 20" xfId="11999"/>
    <cellStyle name="Dane wejściowe 2 6 20 2" xfId="12000"/>
    <cellStyle name="Dane wejściowe 2 6 20 3" xfId="12001"/>
    <cellStyle name="Dane wejściowe 2 6 20 4" xfId="12002"/>
    <cellStyle name="Dane wejściowe 2 6 21" xfId="12003"/>
    <cellStyle name="Dane wejściowe 2 6 21 2" xfId="12004"/>
    <cellStyle name="Dane wejściowe 2 6 21 3" xfId="12005"/>
    <cellStyle name="Dane wejściowe 2 6 22" xfId="12006"/>
    <cellStyle name="Dane wejściowe 2 6 22 2" xfId="12007"/>
    <cellStyle name="Dane wejściowe 2 6 22 3" xfId="12008"/>
    <cellStyle name="Dane wejściowe 2 6 23" xfId="12009"/>
    <cellStyle name="Dane wejściowe 2 6 23 2" xfId="12010"/>
    <cellStyle name="Dane wejściowe 2 6 23 3" xfId="12011"/>
    <cellStyle name="Dane wejściowe 2 6 24" xfId="12012"/>
    <cellStyle name="Dane wejściowe 2 6 24 2" xfId="12013"/>
    <cellStyle name="Dane wejściowe 2 6 24 3" xfId="12014"/>
    <cellStyle name="Dane wejściowe 2 6 25" xfId="12015"/>
    <cellStyle name="Dane wejściowe 2 6 25 2" xfId="12016"/>
    <cellStyle name="Dane wejściowe 2 6 25 3" xfId="12017"/>
    <cellStyle name="Dane wejściowe 2 6 26" xfId="12018"/>
    <cellStyle name="Dane wejściowe 2 6 26 2" xfId="12019"/>
    <cellStyle name="Dane wejściowe 2 6 26 3" xfId="12020"/>
    <cellStyle name="Dane wejściowe 2 6 27" xfId="12021"/>
    <cellStyle name="Dane wejściowe 2 6 27 2" xfId="12022"/>
    <cellStyle name="Dane wejściowe 2 6 27 3" xfId="12023"/>
    <cellStyle name="Dane wejściowe 2 6 28" xfId="12024"/>
    <cellStyle name="Dane wejściowe 2 6 28 2" xfId="12025"/>
    <cellStyle name="Dane wejściowe 2 6 28 3" xfId="12026"/>
    <cellStyle name="Dane wejściowe 2 6 29" xfId="12027"/>
    <cellStyle name="Dane wejściowe 2 6 29 2" xfId="12028"/>
    <cellStyle name="Dane wejściowe 2 6 29 3" xfId="12029"/>
    <cellStyle name="Dane wejściowe 2 6 3" xfId="12030"/>
    <cellStyle name="Dane wejściowe 2 6 3 2" xfId="12031"/>
    <cellStyle name="Dane wejściowe 2 6 3 3" xfId="12032"/>
    <cellStyle name="Dane wejściowe 2 6 3 4" xfId="12033"/>
    <cellStyle name="Dane wejściowe 2 6 30" xfId="12034"/>
    <cellStyle name="Dane wejściowe 2 6 30 2" xfId="12035"/>
    <cellStyle name="Dane wejściowe 2 6 30 3" xfId="12036"/>
    <cellStyle name="Dane wejściowe 2 6 31" xfId="12037"/>
    <cellStyle name="Dane wejściowe 2 6 31 2" xfId="12038"/>
    <cellStyle name="Dane wejściowe 2 6 31 3" xfId="12039"/>
    <cellStyle name="Dane wejściowe 2 6 32" xfId="12040"/>
    <cellStyle name="Dane wejściowe 2 6 32 2" xfId="12041"/>
    <cellStyle name="Dane wejściowe 2 6 32 3" xfId="12042"/>
    <cellStyle name="Dane wejściowe 2 6 33" xfId="12043"/>
    <cellStyle name="Dane wejściowe 2 6 33 2" xfId="12044"/>
    <cellStyle name="Dane wejściowe 2 6 33 3" xfId="12045"/>
    <cellStyle name="Dane wejściowe 2 6 34" xfId="12046"/>
    <cellStyle name="Dane wejściowe 2 6 34 2" xfId="12047"/>
    <cellStyle name="Dane wejściowe 2 6 34 3" xfId="12048"/>
    <cellStyle name="Dane wejściowe 2 6 35" xfId="12049"/>
    <cellStyle name="Dane wejściowe 2 6 35 2" xfId="12050"/>
    <cellStyle name="Dane wejściowe 2 6 35 3" xfId="12051"/>
    <cellStyle name="Dane wejściowe 2 6 36" xfId="12052"/>
    <cellStyle name="Dane wejściowe 2 6 36 2" xfId="12053"/>
    <cellStyle name="Dane wejściowe 2 6 36 3" xfId="12054"/>
    <cellStyle name="Dane wejściowe 2 6 37" xfId="12055"/>
    <cellStyle name="Dane wejściowe 2 6 37 2" xfId="12056"/>
    <cellStyle name="Dane wejściowe 2 6 37 3" xfId="12057"/>
    <cellStyle name="Dane wejściowe 2 6 38" xfId="12058"/>
    <cellStyle name="Dane wejściowe 2 6 38 2" xfId="12059"/>
    <cellStyle name="Dane wejściowe 2 6 38 3" xfId="12060"/>
    <cellStyle name="Dane wejściowe 2 6 39" xfId="12061"/>
    <cellStyle name="Dane wejściowe 2 6 39 2" xfId="12062"/>
    <cellStyle name="Dane wejściowe 2 6 39 3" xfId="12063"/>
    <cellStyle name="Dane wejściowe 2 6 4" xfId="12064"/>
    <cellStyle name="Dane wejściowe 2 6 4 2" xfId="12065"/>
    <cellStyle name="Dane wejściowe 2 6 4 3" xfId="12066"/>
    <cellStyle name="Dane wejściowe 2 6 4 4" xfId="12067"/>
    <cellStyle name="Dane wejściowe 2 6 40" xfId="12068"/>
    <cellStyle name="Dane wejściowe 2 6 40 2" xfId="12069"/>
    <cellStyle name="Dane wejściowe 2 6 40 3" xfId="12070"/>
    <cellStyle name="Dane wejściowe 2 6 41" xfId="12071"/>
    <cellStyle name="Dane wejściowe 2 6 41 2" xfId="12072"/>
    <cellStyle name="Dane wejściowe 2 6 41 3" xfId="12073"/>
    <cellStyle name="Dane wejściowe 2 6 42" xfId="12074"/>
    <cellStyle name="Dane wejściowe 2 6 42 2" xfId="12075"/>
    <cellStyle name="Dane wejściowe 2 6 42 3" xfId="12076"/>
    <cellStyle name="Dane wejściowe 2 6 43" xfId="12077"/>
    <cellStyle name="Dane wejściowe 2 6 43 2" xfId="12078"/>
    <cellStyle name="Dane wejściowe 2 6 43 3" xfId="12079"/>
    <cellStyle name="Dane wejściowe 2 6 44" xfId="12080"/>
    <cellStyle name="Dane wejściowe 2 6 44 2" xfId="12081"/>
    <cellStyle name="Dane wejściowe 2 6 44 3" xfId="12082"/>
    <cellStyle name="Dane wejściowe 2 6 45" xfId="12083"/>
    <cellStyle name="Dane wejściowe 2 6 45 2" xfId="12084"/>
    <cellStyle name="Dane wejściowe 2 6 45 3" xfId="12085"/>
    <cellStyle name="Dane wejściowe 2 6 46" xfId="12086"/>
    <cellStyle name="Dane wejściowe 2 6 46 2" xfId="12087"/>
    <cellStyle name="Dane wejściowe 2 6 46 3" xfId="12088"/>
    <cellStyle name="Dane wejściowe 2 6 47" xfId="12089"/>
    <cellStyle name="Dane wejściowe 2 6 47 2" xfId="12090"/>
    <cellStyle name="Dane wejściowe 2 6 47 3" xfId="12091"/>
    <cellStyle name="Dane wejściowe 2 6 48" xfId="12092"/>
    <cellStyle name="Dane wejściowe 2 6 48 2" xfId="12093"/>
    <cellStyle name="Dane wejściowe 2 6 48 3" xfId="12094"/>
    <cellStyle name="Dane wejściowe 2 6 49" xfId="12095"/>
    <cellStyle name="Dane wejściowe 2 6 49 2" xfId="12096"/>
    <cellStyle name="Dane wejściowe 2 6 49 3" xfId="12097"/>
    <cellStyle name="Dane wejściowe 2 6 5" xfId="12098"/>
    <cellStyle name="Dane wejściowe 2 6 5 2" xfId="12099"/>
    <cellStyle name="Dane wejściowe 2 6 5 3" xfId="12100"/>
    <cellStyle name="Dane wejściowe 2 6 5 4" xfId="12101"/>
    <cellStyle name="Dane wejściowe 2 6 50" xfId="12102"/>
    <cellStyle name="Dane wejściowe 2 6 50 2" xfId="12103"/>
    <cellStyle name="Dane wejściowe 2 6 50 3" xfId="12104"/>
    <cellStyle name="Dane wejściowe 2 6 51" xfId="12105"/>
    <cellStyle name="Dane wejściowe 2 6 51 2" xfId="12106"/>
    <cellStyle name="Dane wejściowe 2 6 51 3" xfId="12107"/>
    <cellStyle name="Dane wejściowe 2 6 52" xfId="12108"/>
    <cellStyle name="Dane wejściowe 2 6 52 2" xfId="12109"/>
    <cellStyle name="Dane wejściowe 2 6 52 3" xfId="12110"/>
    <cellStyle name="Dane wejściowe 2 6 53" xfId="12111"/>
    <cellStyle name="Dane wejściowe 2 6 53 2" xfId="12112"/>
    <cellStyle name="Dane wejściowe 2 6 53 3" xfId="12113"/>
    <cellStyle name="Dane wejściowe 2 6 54" xfId="12114"/>
    <cellStyle name="Dane wejściowe 2 6 54 2" xfId="12115"/>
    <cellStyle name="Dane wejściowe 2 6 54 3" xfId="12116"/>
    <cellStyle name="Dane wejściowe 2 6 55" xfId="12117"/>
    <cellStyle name="Dane wejściowe 2 6 55 2" xfId="12118"/>
    <cellStyle name="Dane wejściowe 2 6 55 3" xfId="12119"/>
    <cellStyle name="Dane wejściowe 2 6 56" xfId="12120"/>
    <cellStyle name="Dane wejściowe 2 6 56 2" xfId="12121"/>
    <cellStyle name="Dane wejściowe 2 6 56 3" xfId="12122"/>
    <cellStyle name="Dane wejściowe 2 6 57" xfId="12123"/>
    <cellStyle name="Dane wejściowe 2 6 58" xfId="12124"/>
    <cellStyle name="Dane wejściowe 2 6 6" xfId="12125"/>
    <cellStyle name="Dane wejściowe 2 6 6 2" xfId="12126"/>
    <cellStyle name="Dane wejściowe 2 6 6 3" xfId="12127"/>
    <cellStyle name="Dane wejściowe 2 6 6 4" xfId="12128"/>
    <cellStyle name="Dane wejściowe 2 6 7" xfId="12129"/>
    <cellStyle name="Dane wejściowe 2 6 7 2" xfId="12130"/>
    <cellStyle name="Dane wejściowe 2 6 7 3" xfId="12131"/>
    <cellStyle name="Dane wejściowe 2 6 7 4" xfId="12132"/>
    <cellStyle name="Dane wejściowe 2 6 8" xfId="12133"/>
    <cellStyle name="Dane wejściowe 2 6 8 2" xfId="12134"/>
    <cellStyle name="Dane wejściowe 2 6 8 3" xfId="12135"/>
    <cellStyle name="Dane wejściowe 2 6 8 4" xfId="12136"/>
    <cellStyle name="Dane wejściowe 2 6 9" xfId="12137"/>
    <cellStyle name="Dane wejściowe 2 6 9 2" xfId="12138"/>
    <cellStyle name="Dane wejściowe 2 6 9 3" xfId="12139"/>
    <cellStyle name="Dane wejściowe 2 6 9 4" xfId="12140"/>
    <cellStyle name="Dane wejściowe 2 60" xfId="12141"/>
    <cellStyle name="Dane wejściowe 2 60 2" xfId="12142"/>
    <cellStyle name="Dane wejściowe 2 60 3" xfId="12143"/>
    <cellStyle name="Dane wejściowe 2 61" xfId="12144"/>
    <cellStyle name="Dane wejściowe 2 61 2" xfId="12145"/>
    <cellStyle name="Dane wejściowe 2 61 3" xfId="12146"/>
    <cellStyle name="Dane wejściowe 2 62" xfId="12147"/>
    <cellStyle name="Dane wejściowe 2 62 2" xfId="12148"/>
    <cellStyle name="Dane wejściowe 2 62 3" xfId="12149"/>
    <cellStyle name="Dane wejściowe 2 63" xfId="12150"/>
    <cellStyle name="Dane wejściowe 2 63 2" xfId="12151"/>
    <cellStyle name="Dane wejściowe 2 63 3" xfId="12152"/>
    <cellStyle name="Dane wejściowe 2 64" xfId="12153"/>
    <cellStyle name="Dane wejściowe 2 64 2" xfId="12154"/>
    <cellStyle name="Dane wejściowe 2 64 3" xfId="12155"/>
    <cellStyle name="Dane wejściowe 2 65" xfId="12156"/>
    <cellStyle name="Dane wejściowe 2 65 2" xfId="12157"/>
    <cellStyle name="Dane wejściowe 2 65 3" xfId="12158"/>
    <cellStyle name="Dane wejściowe 2 66" xfId="12159"/>
    <cellStyle name="Dane wejściowe 2 66 2" xfId="12160"/>
    <cellStyle name="Dane wejściowe 2 66 3" xfId="12161"/>
    <cellStyle name="Dane wejściowe 2 67" xfId="12162"/>
    <cellStyle name="Dane wejściowe 2 67 2" xfId="12163"/>
    <cellStyle name="Dane wejściowe 2 67 3" xfId="12164"/>
    <cellStyle name="Dane wejściowe 2 68" xfId="12165"/>
    <cellStyle name="Dane wejściowe 2 68 2" xfId="12166"/>
    <cellStyle name="Dane wejściowe 2 68 3" xfId="12167"/>
    <cellStyle name="Dane wejściowe 2 69" xfId="12168"/>
    <cellStyle name="Dane wejściowe 2 69 2" xfId="12169"/>
    <cellStyle name="Dane wejściowe 2 69 3" xfId="12170"/>
    <cellStyle name="Dane wejściowe 2 7" xfId="12171"/>
    <cellStyle name="Dane wejściowe 2 7 10" xfId="12172"/>
    <cellStyle name="Dane wejściowe 2 7 10 2" xfId="12173"/>
    <cellStyle name="Dane wejściowe 2 7 10 3" xfId="12174"/>
    <cellStyle name="Dane wejściowe 2 7 10 4" xfId="12175"/>
    <cellStyle name="Dane wejściowe 2 7 11" xfId="12176"/>
    <cellStyle name="Dane wejściowe 2 7 11 2" xfId="12177"/>
    <cellStyle name="Dane wejściowe 2 7 11 3" xfId="12178"/>
    <cellStyle name="Dane wejściowe 2 7 11 4" xfId="12179"/>
    <cellStyle name="Dane wejściowe 2 7 12" xfId="12180"/>
    <cellStyle name="Dane wejściowe 2 7 12 2" xfId="12181"/>
    <cellStyle name="Dane wejściowe 2 7 12 3" xfId="12182"/>
    <cellStyle name="Dane wejściowe 2 7 12 4" xfId="12183"/>
    <cellStyle name="Dane wejściowe 2 7 13" xfId="12184"/>
    <cellStyle name="Dane wejściowe 2 7 13 2" xfId="12185"/>
    <cellStyle name="Dane wejściowe 2 7 13 3" xfId="12186"/>
    <cellStyle name="Dane wejściowe 2 7 13 4" xfId="12187"/>
    <cellStyle name="Dane wejściowe 2 7 14" xfId="12188"/>
    <cellStyle name="Dane wejściowe 2 7 14 2" xfId="12189"/>
    <cellStyle name="Dane wejściowe 2 7 14 3" xfId="12190"/>
    <cellStyle name="Dane wejściowe 2 7 14 4" xfId="12191"/>
    <cellStyle name="Dane wejściowe 2 7 15" xfId="12192"/>
    <cellStyle name="Dane wejściowe 2 7 15 2" xfId="12193"/>
    <cellStyle name="Dane wejściowe 2 7 15 3" xfId="12194"/>
    <cellStyle name="Dane wejściowe 2 7 15 4" xfId="12195"/>
    <cellStyle name="Dane wejściowe 2 7 16" xfId="12196"/>
    <cellStyle name="Dane wejściowe 2 7 16 2" xfId="12197"/>
    <cellStyle name="Dane wejściowe 2 7 16 3" xfId="12198"/>
    <cellStyle name="Dane wejściowe 2 7 16 4" xfId="12199"/>
    <cellStyle name="Dane wejściowe 2 7 17" xfId="12200"/>
    <cellStyle name="Dane wejściowe 2 7 17 2" xfId="12201"/>
    <cellStyle name="Dane wejściowe 2 7 17 3" xfId="12202"/>
    <cellStyle name="Dane wejściowe 2 7 17 4" xfId="12203"/>
    <cellStyle name="Dane wejściowe 2 7 18" xfId="12204"/>
    <cellStyle name="Dane wejściowe 2 7 18 2" xfId="12205"/>
    <cellStyle name="Dane wejściowe 2 7 18 3" xfId="12206"/>
    <cellStyle name="Dane wejściowe 2 7 18 4" xfId="12207"/>
    <cellStyle name="Dane wejściowe 2 7 19" xfId="12208"/>
    <cellStyle name="Dane wejściowe 2 7 19 2" xfId="12209"/>
    <cellStyle name="Dane wejściowe 2 7 19 3" xfId="12210"/>
    <cellStyle name="Dane wejściowe 2 7 19 4" xfId="12211"/>
    <cellStyle name="Dane wejściowe 2 7 2" xfId="12212"/>
    <cellStyle name="Dane wejściowe 2 7 2 2" xfId="12213"/>
    <cellStyle name="Dane wejściowe 2 7 2 3" xfId="12214"/>
    <cellStyle name="Dane wejściowe 2 7 2 4" xfId="12215"/>
    <cellStyle name="Dane wejściowe 2 7 20" xfId="12216"/>
    <cellStyle name="Dane wejściowe 2 7 20 2" xfId="12217"/>
    <cellStyle name="Dane wejściowe 2 7 20 3" xfId="12218"/>
    <cellStyle name="Dane wejściowe 2 7 20 4" xfId="12219"/>
    <cellStyle name="Dane wejściowe 2 7 21" xfId="12220"/>
    <cellStyle name="Dane wejściowe 2 7 21 2" xfId="12221"/>
    <cellStyle name="Dane wejściowe 2 7 21 3" xfId="12222"/>
    <cellStyle name="Dane wejściowe 2 7 22" xfId="12223"/>
    <cellStyle name="Dane wejściowe 2 7 22 2" xfId="12224"/>
    <cellStyle name="Dane wejściowe 2 7 22 3" xfId="12225"/>
    <cellStyle name="Dane wejściowe 2 7 23" xfId="12226"/>
    <cellStyle name="Dane wejściowe 2 7 23 2" xfId="12227"/>
    <cellStyle name="Dane wejściowe 2 7 23 3" xfId="12228"/>
    <cellStyle name="Dane wejściowe 2 7 24" xfId="12229"/>
    <cellStyle name="Dane wejściowe 2 7 24 2" xfId="12230"/>
    <cellStyle name="Dane wejściowe 2 7 24 3" xfId="12231"/>
    <cellStyle name="Dane wejściowe 2 7 25" xfId="12232"/>
    <cellStyle name="Dane wejściowe 2 7 25 2" xfId="12233"/>
    <cellStyle name="Dane wejściowe 2 7 25 3" xfId="12234"/>
    <cellStyle name="Dane wejściowe 2 7 26" xfId="12235"/>
    <cellStyle name="Dane wejściowe 2 7 26 2" xfId="12236"/>
    <cellStyle name="Dane wejściowe 2 7 26 3" xfId="12237"/>
    <cellStyle name="Dane wejściowe 2 7 27" xfId="12238"/>
    <cellStyle name="Dane wejściowe 2 7 27 2" xfId="12239"/>
    <cellStyle name="Dane wejściowe 2 7 27 3" xfId="12240"/>
    <cellStyle name="Dane wejściowe 2 7 28" xfId="12241"/>
    <cellStyle name="Dane wejściowe 2 7 28 2" xfId="12242"/>
    <cellStyle name="Dane wejściowe 2 7 28 3" xfId="12243"/>
    <cellStyle name="Dane wejściowe 2 7 29" xfId="12244"/>
    <cellStyle name="Dane wejściowe 2 7 29 2" xfId="12245"/>
    <cellStyle name="Dane wejściowe 2 7 29 3" xfId="12246"/>
    <cellStyle name="Dane wejściowe 2 7 3" xfId="12247"/>
    <cellStyle name="Dane wejściowe 2 7 3 2" xfId="12248"/>
    <cellStyle name="Dane wejściowe 2 7 3 3" xfId="12249"/>
    <cellStyle name="Dane wejściowe 2 7 3 4" xfId="12250"/>
    <cellStyle name="Dane wejściowe 2 7 30" xfId="12251"/>
    <cellStyle name="Dane wejściowe 2 7 30 2" xfId="12252"/>
    <cellStyle name="Dane wejściowe 2 7 30 3" xfId="12253"/>
    <cellStyle name="Dane wejściowe 2 7 31" xfId="12254"/>
    <cellStyle name="Dane wejściowe 2 7 31 2" xfId="12255"/>
    <cellStyle name="Dane wejściowe 2 7 31 3" xfId="12256"/>
    <cellStyle name="Dane wejściowe 2 7 32" xfId="12257"/>
    <cellStyle name="Dane wejściowe 2 7 32 2" xfId="12258"/>
    <cellStyle name="Dane wejściowe 2 7 32 3" xfId="12259"/>
    <cellStyle name="Dane wejściowe 2 7 33" xfId="12260"/>
    <cellStyle name="Dane wejściowe 2 7 33 2" xfId="12261"/>
    <cellStyle name="Dane wejściowe 2 7 33 3" xfId="12262"/>
    <cellStyle name="Dane wejściowe 2 7 34" xfId="12263"/>
    <cellStyle name="Dane wejściowe 2 7 34 2" xfId="12264"/>
    <cellStyle name="Dane wejściowe 2 7 34 3" xfId="12265"/>
    <cellStyle name="Dane wejściowe 2 7 35" xfId="12266"/>
    <cellStyle name="Dane wejściowe 2 7 35 2" xfId="12267"/>
    <cellStyle name="Dane wejściowe 2 7 35 3" xfId="12268"/>
    <cellStyle name="Dane wejściowe 2 7 36" xfId="12269"/>
    <cellStyle name="Dane wejściowe 2 7 36 2" xfId="12270"/>
    <cellStyle name="Dane wejściowe 2 7 36 3" xfId="12271"/>
    <cellStyle name="Dane wejściowe 2 7 37" xfId="12272"/>
    <cellStyle name="Dane wejściowe 2 7 37 2" xfId="12273"/>
    <cellStyle name="Dane wejściowe 2 7 37 3" xfId="12274"/>
    <cellStyle name="Dane wejściowe 2 7 38" xfId="12275"/>
    <cellStyle name="Dane wejściowe 2 7 38 2" xfId="12276"/>
    <cellStyle name="Dane wejściowe 2 7 38 3" xfId="12277"/>
    <cellStyle name="Dane wejściowe 2 7 39" xfId="12278"/>
    <cellStyle name="Dane wejściowe 2 7 39 2" xfId="12279"/>
    <cellStyle name="Dane wejściowe 2 7 39 3" xfId="12280"/>
    <cellStyle name="Dane wejściowe 2 7 4" xfId="12281"/>
    <cellStyle name="Dane wejściowe 2 7 4 2" xfId="12282"/>
    <cellStyle name="Dane wejściowe 2 7 4 3" xfId="12283"/>
    <cellStyle name="Dane wejściowe 2 7 4 4" xfId="12284"/>
    <cellStyle name="Dane wejściowe 2 7 40" xfId="12285"/>
    <cellStyle name="Dane wejściowe 2 7 40 2" xfId="12286"/>
    <cellStyle name="Dane wejściowe 2 7 40 3" xfId="12287"/>
    <cellStyle name="Dane wejściowe 2 7 41" xfId="12288"/>
    <cellStyle name="Dane wejściowe 2 7 41 2" xfId="12289"/>
    <cellStyle name="Dane wejściowe 2 7 41 3" xfId="12290"/>
    <cellStyle name="Dane wejściowe 2 7 42" xfId="12291"/>
    <cellStyle name="Dane wejściowe 2 7 42 2" xfId="12292"/>
    <cellStyle name="Dane wejściowe 2 7 42 3" xfId="12293"/>
    <cellStyle name="Dane wejściowe 2 7 43" xfId="12294"/>
    <cellStyle name="Dane wejściowe 2 7 43 2" xfId="12295"/>
    <cellStyle name="Dane wejściowe 2 7 43 3" xfId="12296"/>
    <cellStyle name="Dane wejściowe 2 7 44" xfId="12297"/>
    <cellStyle name="Dane wejściowe 2 7 44 2" xfId="12298"/>
    <cellStyle name="Dane wejściowe 2 7 44 3" xfId="12299"/>
    <cellStyle name="Dane wejściowe 2 7 45" xfId="12300"/>
    <cellStyle name="Dane wejściowe 2 7 45 2" xfId="12301"/>
    <cellStyle name="Dane wejściowe 2 7 45 3" xfId="12302"/>
    <cellStyle name="Dane wejściowe 2 7 46" xfId="12303"/>
    <cellStyle name="Dane wejściowe 2 7 46 2" xfId="12304"/>
    <cellStyle name="Dane wejściowe 2 7 46 3" xfId="12305"/>
    <cellStyle name="Dane wejściowe 2 7 47" xfId="12306"/>
    <cellStyle name="Dane wejściowe 2 7 47 2" xfId="12307"/>
    <cellStyle name="Dane wejściowe 2 7 47 3" xfId="12308"/>
    <cellStyle name="Dane wejściowe 2 7 48" xfId="12309"/>
    <cellStyle name="Dane wejściowe 2 7 48 2" xfId="12310"/>
    <cellStyle name="Dane wejściowe 2 7 48 3" xfId="12311"/>
    <cellStyle name="Dane wejściowe 2 7 49" xfId="12312"/>
    <cellStyle name="Dane wejściowe 2 7 49 2" xfId="12313"/>
    <cellStyle name="Dane wejściowe 2 7 49 3" xfId="12314"/>
    <cellStyle name="Dane wejściowe 2 7 5" xfId="12315"/>
    <cellStyle name="Dane wejściowe 2 7 5 2" xfId="12316"/>
    <cellStyle name="Dane wejściowe 2 7 5 3" xfId="12317"/>
    <cellStyle name="Dane wejściowe 2 7 5 4" xfId="12318"/>
    <cellStyle name="Dane wejściowe 2 7 50" xfId="12319"/>
    <cellStyle name="Dane wejściowe 2 7 50 2" xfId="12320"/>
    <cellStyle name="Dane wejściowe 2 7 50 3" xfId="12321"/>
    <cellStyle name="Dane wejściowe 2 7 51" xfId="12322"/>
    <cellStyle name="Dane wejściowe 2 7 51 2" xfId="12323"/>
    <cellStyle name="Dane wejściowe 2 7 51 3" xfId="12324"/>
    <cellStyle name="Dane wejściowe 2 7 52" xfId="12325"/>
    <cellStyle name="Dane wejściowe 2 7 52 2" xfId="12326"/>
    <cellStyle name="Dane wejściowe 2 7 52 3" xfId="12327"/>
    <cellStyle name="Dane wejściowe 2 7 53" xfId="12328"/>
    <cellStyle name="Dane wejściowe 2 7 53 2" xfId="12329"/>
    <cellStyle name="Dane wejściowe 2 7 53 3" xfId="12330"/>
    <cellStyle name="Dane wejściowe 2 7 54" xfId="12331"/>
    <cellStyle name="Dane wejściowe 2 7 54 2" xfId="12332"/>
    <cellStyle name="Dane wejściowe 2 7 54 3" xfId="12333"/>
    <cellStyle name="Dane wejściowe 2 7 55" xfId="12334"/>
    <cellStyle name="Dane wejściowe 2 7 55 2" xfId="12335"/>
    <cellStyle name="Dane wejściowe 2 7 55 3" xfId="12336"/>
    <cellStyle name="Dane wejściowe 2 7 56" xfId="12337"/>
    <cellStyle name="Dane wejściowe 2 7 56 2" xfId="12338"/>
    <cellStyle name="Dane wejściowe 2 7 56 3" xfId="12339"/>
    <cellStyle name="Dane wejściowe 2 7 57" xfId="12340"/>
    <cellStyle name="Dane wejściowe 2 7 58" xfId="12341"/>
    <cellStyle name="Dane wejściowe 2 7 6" xfId="12342"/>
    <cellStyle name="Dane wejściowe 2 7 6 2" xfId="12343"/>
    <cellStyle name="Dane wejściowe 2 7 6 3" xfId="12344"/>
    <cellStyle name="Dane wejściowe 2 7 6 4" xfId="12345"/>
    <cellStyle name="Dane wejściowe 2 7 7" xfId="12346"/>
    <cellStyle name="Dane wejściowe 2 7 7 2" xfId="12347"/>
    <cellStyle name="Dane wejściowe 2 7 7 3" xfId="12348"/>
    <cellStyle name="Dane wejściowe 2 7 7 4" xfId="12349"/>
    <cellStyle name="Dane wejściowe 2 7 8" xfId="12350"/>
    <cellStyle name="Dane wejściowe 2 7 8 2" xfId="12351"/>
    <cellStyle name="Dane wejściowe 2 7 8 3" xfId="12352"/>
    <cellStyle name="Dane wejściowe 2 7 8 4" xfId="12353"/>
    <cellStyle name="Dane wejściowe 2 7 9" xfId="12354"/>
    <cellStyle name="Dane wejściowe 2 7 9 2" xfId="12355"/>
    <cellStyle name="Dane wejściowe 2 7 9 3" xfId="12356"/>
    <cellStyle name="Dane wejściowe 2 7 9 4" xfId="12357"/>
    <cellStyle name="Dane wejściowe 2 70" xfId="12358"/>
    <cellStyle name="Dane wejściowe 2 70 2" xfId="12359"/>
    <cellStyle name="Dane wejściowe 2 70 3" xfId="12360"/>
    <cellStyle name="Dane wejściowe 2 71" xfId="12361"/>
    <cellStyle name="Dane wejściowe 2 71 2" xfId="12362"/>
    <cellStyle name="Dane wejściowe 2 71 3" xfId="12363"/>
    <cellStyle name="Dane wejściowe 2 72" xfId="12364"/>
    <cellStyle name="Dane wejściowe 2 72 2" xfId="12365"/>
    <cellStyle name="Dane wejściowe 2 72 3" xfId="12366"/>
    <cellStyle name="Dane wejściowe 2 73" xfId="12367"/>
    <cellStyle name="Dane wejściowe 2 73 2" xfId="12368"/>
    <cellStyle name="Dane wejściowe 2 73 3" xfId="12369"/>
    <cellStyle name="Dane wejściowe 2 74" xfId="12370"/>
    <cellStyle name="Dane wejściowe 2 74 2" xfId="12371"/>
    <cellStyle name="Dane wejściowe 2 74 3" xfId="12372"/>
    <cellStyle name="Dane wejściowe 2 75" xfId="12373"/>
    <cellStyle name="Dane wejściowe 2 75 2" xfId="12374"/>
    <cellStyle name="Dane wejściowe 2 75 3" xfId="12375"/>
    <cellStyle name="Dane wejściowe 2 76" xfId="12376"/>
    <cellStyle name="Dane wejściowe 2 76 2" xfId="12377"/>
    <cellStyle name="Dane wejściowe 2 76 3" xfId="12378"/>
    <cellStyle name="Dane wejściowe 2 77" xfId="12379"/>
    <cellStyle name="Dane wejściowe 2 77 2" xfId="12380"/>
    <cellStyle name="Dane wejściowe 2 77 3" xfId="12381"/>
    <cellStyle name="Dane wejściowe 2 78" xfId="12382"/>
    <cellStyle name="Dane wejściowe 2 78 2" xfId="12383"/>
    <cellStyle name="Dane wejściowe 2 78 3" xfId="12384"/>
    <cellStyle name="Dane wejściowe 2 79" xfId="12385"/>
    <cellStyle name="Dane wejściowe 2 79 2" xfId="12386"/>
    <cellStyle name="Dane wejściowe 2 79 3" xfId="12387"/>
    <cellStyle name="Dane wejściowe 2 8" xfId="12388"/>
    <cellStyle name="Dane wejściowe 2 8 10" xfId="12389"/>
    <cellStyle name="Dane wejściowe 2 8 10 2" xfId="12390"/>
    <cellStyle name="Dane wejściowe 2 8 10 3" xfId="12391"/>
    <cellStyle name="Dane wejściowe 2 8 10 4" xfId="12392"/>
    <cellStyle name="Dane wejściowe 2 8 11" xfId="12393"/>
    <cellStyle name="Dane wejściowe 2 8 11 2" xfId="12394"/>
    <cellStyle name="Dane wejściowe 2 8 11 3" xfId="12395"/>
    <cellStyle name="Dane wejściowe 2 8 11 4" xfId="12396"/>
    <cellStyle name="Dane wejściowe 2 8 12" xfId="12397"/>
    <cellStyle name="Dane wejściowe 2 8 12 2" xfId="12398"/>
    <cellStyle name="Dane wejściowe 2 8 12 3" xfId="12399"/>
    <cellStyle name="Dane wejściowe 2 8 12 4" xfId="12400"/>
    <cellStyle name="Dane wejściowe 2 8 13" xfId="12401"/>
    <cellStyle name="Dane wejściowe 2 8 13 2" xfId="12402"/>
    <cellStyle name="Dane wejściowe 2 8 13 3" xfId="12403"/>
    <cellStyle name="Dane wejściowe 2 8 13 4" xfId="12404"/>
    <cellStyle name="Dane wejściowe 2 8 14" xfId="12405"/>
    <cellStyle name="Dane wejściowe 2 8 14 2" xfId="12406"/>
    <cellStyle name="Dane wejściowe 2 8 14 3" xfId="12407"/>
    <cellStyle name="Dane wejściowe 2 8 14 4" xfId="12408"/>
    <cellStyle name="Dane wejściowe 2 8 15" xfId="12409"/>
    <cellStyle name="Dane wejściowe 2 8 15 2" xfId="12410"/>
    <cellStyle name="Dane wejściowe 2 8 15 3" xfId="12411"/>
    <cellStyle name="Dane wejściowe 2 8 15 4" xfId="12412"/>
    <cellStyle name="Dane wejściowe 2 8 16" xfId="12413"/>
    <cellStyle name="Dane wejściowe 2 8 16 2" xfId="12414"/>
    <cellStyle name="Dane wejściowe 2 8 16 3" xfId="12415"/>
    <cellStyle name="Dane wejściowe 2 8 16 4" xfId="12416"/>
    <cellStyle name="Dane wejściowe 2 8 17" xfId="12417"/>
    <cellStyle name="Dane wejściowe 2 8 17 2" xfId="12418"/>
    <cellStyle name="Dane wejściowe 2 8 17 3" xfId="12419"/>
    <cellStyle name="Dane wejściowe 2 8 17 4" xfId="12420"/>
    <cellStyle name="Dane wejściowe 2 8 18" xfId="12421"/>
    <cellStyle name="Dane wejściowe 2 8 18 2" xfId="12422"/>
    <cellStyle name="Dane wejściowe 2 8 18 3" xfId="12423"/>
    <cellStyle name="Dane wejściowe 2 8 18 4" xfId="12424"/>
    <cellStyle name="Dane wejściowe 2 8 19" xfId="12425"/>
    <cellStyle name="Dane wejściowe 2 8 19 2" xfId="12426"/>
    <cellStyle name="Dane wejściowe 2 8 19 3" xfId="12427"/>
    <cellStyle name="Dane wejściowe 2 8 19 4" xfId="12428"/>
    <cellStyle name="Dane wejściowe 2 8 2" xfId="12429"/>
    <cellStyle name="Dane wejściowe 2 8 2 2" xfId="12430"/>
    <cellStyle name="Dane wejściowe 2 8 2 3" xfId="12431"/>
    <cellStyle name="Dane wejściowe 2 8 2 4" xfId="12432"/>
    <cellStyle name="Dane wejściowe 2 8 20" xfId="12433"/>
    <cellStyle name="Dane wejściowe 2 8 20 2" xfId="12434"/>
    <cellStyle name="Dane wejściowe 2 8 20 3" xfId="12435"/>
    <cellStyle name="Dane wejściowe 2 8 20 4" xfId="12436"/>
    <cellStyle name="Dane wejściowe 2 8 21" xfId="12437"/>
    <cellStyle name="Dane wejściowe 2 8 21 2" xfId="12438"/>
    <cellStyle name="Dane wejściowe 2 8 21 3" xfId="12439"/>
    <cellStyle name="Dane wejściowe 2 8 22" xfId="12440"/>
    <cellStyle name="Dane wejściowe 2 8 22 2" xfId="12441"/>
    <cellStyle name="Dane wejściowe 2 8 22 3" xfId="12442"/>
    <cellStyle name="Dane wejściowe 2 8 23" xfId="12443"/>
    <cellStyle name="Dane wejściowe 2 8 23 2" xfId="12444"/>
    <cellStyle name="Dane wejściowe 2 8 23 3" xfId="12445"/>
    <cellStyle name="Dane wejściowe 2 8 24" xfId="12446"/>
    <cellStyle name="Dane wejściowe 2 8 24 2" xfId="12447"/>
    <cellStyle name="Dane wejściowe 2 8 24 3" xfId="12448"/>
    <cellStyle name="Dane wejściowe 2 8 25" xfId="12449"/>
    <cellStyle name="Dane wejściowe 2 8 25 2" xfId="12450"/>
    <cellStyle name="Dane wejściowe 2 8 25 3" xfId="12451"/>
    <cellStyle name="Dane wejściowe 2 8 26" xfId="12452"/>
    <cellStyle name="Dane wejściowe 2 8 26 2" xfId="12453"/>
    <cellStyle name="Dane wejściowe 2 8 26 3" xfId="12454"/>
    <cellStyle name="Dane wejściowe 2 8 27" xfId="12455"/>
    <cellStyle name="Dane wejściowe 2 8 27 2" xfId="12456"/>
    <cellStyle name="Dane wejściowe 2 8 27 3" xfId="12457"/>
    <cellStyle name="Dane wejściowe 2 8 28" xfId="12458"/>
    <cellStyle name="Dane wejściowe 2 8 28 2" xfId="12459"/>
    <cellStyle name="Dane wejściowe 2 8 28 3" xfId="12460"/>
    <cellStyle name="Dane wejściowe 2 8 29" xfId="12461"/>
    <cellStyle name="Dane wejściowe 2 8 29 2" xfId="12462"/>
    <cellStyle name="Dane wejściowe 2 8 29 3" xfId="12463"/>
    <cellStyle name="Dane wejściowe 2 8 3" xfId="12464"/>
    <cellStyle name="Dane wejściowe 2 8 3 2" xfId="12465"/>
    <cellStyle name="Dane wejściowe 2 8 3 3" xfId="12466"/>
    <cellStyle name="Dane wejściowe 2 8 3 4" xfId="12467"/>
    <cellStyle name="Dane wejściowe 2 8 30" xfId="12468"/>
    <cellStyle name="Dane wejściowe 2 8 30 2" xfId="12469"/>
    <cellStyle name="Dane wejściowe 2 8 30 3" xfId="12470"/>
    <cellStyle name="Dane wejściowe 2 8 31" xfId="12471"/>
    <cellStyle name="Dane wejściowe 2 8 31 2" xfId="12472"/>
    <cellStyle name="Dane wejściowe 2 8 31 3" xfId="12473"/>
    <cellStyle name="Dane wejściowe 2 8 32" xfId="12474"/>
    <cellStyle name="Dane wejściowe 2 8 32 2" xfId="12475"/>
    <cellStyle name="Dane wejściowe 2 8 32 3" xfId="12476"/>
    <cellStyle name="Dane wejściowe 2 8 33" xfId="12477"/>
    <cellStyle name="Dane wejściowe 2 8 33 2" xfId="12478"/>
    <cellStyle name="Dane wejściowe 2 8 33 3" xfId="12479"/>
    <cellStyle name="Dane wejściowe 2 8 34" xfId="12480"/>
    <cellStyle name="Dane wejściowe 2 8 34 2" xfId="12481"/>
    <cellStyle name="Dane wejściowe 2 8 34 3" xfId="12482"/>
    <cellStyle name="Dane wejściowe 2 8 35" xfId="12483"/>
    <cellStyle name="Dane wejściowe 2 8 35 2" xfId="12484"/>
    <cellStyle name="Dane wejściowe 2 8 35 3" xfId="12485"/>
    <cellStyle name="Dane wejściowe 2 8 36" xfId="12486"/>
    <cellStyle name="Dane wejściowe 2 8 36 2" xfId="12487"/>
    <cellStyle name="Dane wejściowe 2 8 36 3" xfId="12488"/>
    <cellStyle name="Dane wejściowe 2 8 37" xfId="12489"/>
    <cellStyle name="Dane wejściowe 2 8 37 2" xfId="12490"/>
    <cellStyle name="Dane wejściowe 2 8 37 3" xfId="12491"/>
    <cellStyle name="Dane wejściowe 2 8 38" xfId="12492"/>
    <cellStyle name="Dane wejściowe 2 8 38 2" xfId="12493"/>
    <cellStyle name="Dane wejściowe 2 8 38 3" xfId="12494"/>
    <cellStyle name="Dane wejściowe 2 8 39" xfId="12495"/>
    <cellStyle name="Dane wejściowe 2 8 39 2" xfId="12496"/>
    <cellStyle name="Dane wejściowe 2 8 39 3" xfId="12497"/>
    <cellStyle name="Dane wejściowe 2 8 4" xfId="12498"/>
    <cellStyle name="Dane wejściowe 2 8 4 2" xfId="12499"/>
    <cellStyle name="Dane wejściowe 2 8 4 3" xfId="12500"/>
    <cellStyle name="Dane wejściowe 2 8 4 4" xfId="12501"/>
    <cellStyle name="Dane wejściowe 2 8 40" xfId="12502"/>
    <cellStyle name="Dane wejściowe 2 8 40 2" xfId="12503"/>
    <cellStyle name="Dane wejściowe 2 8 40 3" xfId="12504"/>
    <cellStyle name="Dane wejściowe 2 8 41" xfId="12505"/>
    <cellStyle name="Dane wejściowe 2 8 41 2" xfId="12506"/>
    <cellStyle name="Dane wejściowe 2 8 41 3" xfId="12507"/>
    <cellStyle name="Dane wejściowe 2 8 42" xfId="12508"/>
    <cellStyle name="Dane wejściowe 2 8 42 2" xfId="12509"/>
    <cellStyle name="Dane wejściowe 2 8 42 3" xfId="12510"/>
    <cellStyle name="Dane wejściowe 2 8 43" xfId="12511"/>
    <cellStyle name="Dane wejściowe 2 8 43 2" xfId="12512"/>
    <cellStyle name="Dane wejściowe 2 8 43 3" xfId="12513"/>
    <cellStyle name="Dane wejściowe 2 8 44" xfId="12514"/>
    <cellStyle name="Dane wejściowe 2 8 44 2" xfId="12515"/>
    <cellStyle name="Dane wejściowe 2 8 44 3" xfId="12516"/>
    <cellStyle name="Dane wejściowe 2 8 45" xfId="12517"/>
    <cellStyle name="Dane wejściowe 2 8 45 2" xfId="12518"/>
    <cellStyle name="Dane wejściowe 2 8 45 3" xfId="12519"/>
    <cellStyle name="Dane wejściowe 2 8 46" xfId="12520"/>
    <cellStyle name="Dane wejściowe 2 8 46 2" xfId="12521"/>
    <cellStyle name="Dane wejściowe 2 8 46 3" xfId="12522"/>
    <cellStyle name="Dane wejściowe 2 8 47" xfId="12523"/>
    <cellStyle name="Dane wejściowe 2 8 47 2" xfId="12524"/>
    <cellStyle name="Dane wejściowe 2 8 47 3" xfId="12525"/>
    <cellStyle name="Dane wejściowe 2 8 48" xfId="12526"/>
    <cellStyle name="Dane wejściowe 2 8 48 2" xfId="12527"/>
    <cellStyle name="Dane wejściowe 2 8 48 3" xfId="12528"/>
    <cellStyle name="Dane wejściowe 2 8 49" xfId="12529"/>
    <cellStyle name="Dane wejściowe 2 8 49 2" xfId="12530"/>
    <cellStyle name="Dane wejściowe 2 8 49 3" xfId="12531"/>
    <cellStyle name="Dane wejściowe 2 8 5" xfId="12532"/>
    <cellStyle name="Dane wejściowe 2 8 5 2" xfId="12533"/>
    <cellStyle name="Dane wejściowe 2 8 5 3" xfId="12534"/>
    <cellStyle name="Dane wejściowe 2 8 5 4" xfId="12535"/>
    <cellStyle name="Dane wejściowe 2 8 50" xfId="12536"/>
    <cellStyle name="Dane wejściowe 2 8 50 2" xfId="12537"/>
    <cellStyle name="Dane wejściowe 2 8 50 3" xfId="12538"/>
    <cellStyle name="Dane wejściowe 2 8 51" xfId="12539"/>
    <cellStyle name="Dane wejściowe 2 8 51 2" xfId="12540"/>
    <cellStyle name="Dane wejściowe 2 8 51 3" xfId="12541"/>
    <cellStyle name="Dane wejściowe 2 8 52" xfId="12542"/>
    <cellStyle name="Dane wejściowe 2 8 52 2" xfId="12543"/>
    <cellStyle name="Dane wejściowe 2 8 52 3" xfId="12544"/>
    <cellStyle name="Dane wejściowe 2 8 53" xfId="12545"/>
    <cellStyle name="Dane wejściowe 2 8 53 2" xfId="12546"/>
    <cellStyle name="Dane wejściowe 2 8 53 3" xfId="12547"/>
    <cellStyle name="Dane wejściowe 2 8 54" xfId="12548"/>
    <cellStyle name="Dane wejściowe 2 8 54 2" xfId="12549"/>
    <cellStyle name="Dane wejściowe 2 8 54 3" xfId="12550"/>
    <cellStyle name="Dane wejściowe 2 8 55" xfId="12551"/>
    <cellStyle name="Dane wejściowe 2 8 55 2" xfId="12552"/>
    <cellStyle name="Dane wejściowe 2 8 55 3" xfId="12553"/>
    <cellStyle name="Dane wejściowe 2 8 56" xfId="12554"/>
    <cellStyle name="Dane wejściowe 2 8 56 2" xfId="12555"/>
    <cellStyle name="Dane wejściowe 2 8 56 3" xfId="12556"/>
    <cellStyle name="Dane wejściowe 2 8 57" xfId="12557"/>
    <cellStyle name="Dane wejściowe 2 8 58" xfId="12558"/>
    <cellStyle name="Dane wejściowe 2 8 6" xfId="12559"/>
    <cellStyle name="Dane wejściowe 2 8 6 2" xfId="12560"/>
    <cellStyle name="Dane wejściowe 2 8 6 3" xfId="12561"/>
    <cellStyle name="Dane wejściowe 2 8 6 4" xfId="12562"/>
    <cellStyle name="Dane wejściowe 2 8 7" xfId="12563"/>
    <cellStyle name="Dane wejściowe 2 8 7 2" xfId="12564"/>
    <cellStyle name="Dane wejściowe 2 8 7 3" xfId="12565"/>
    <cellStyle name="Dane wejściowe 2 8 7 4" xfId="12566"/>
    <cellStyle name="Dane wejściowe 2 8 8" xfId="12567"/>
    <cellStyle name="Dane wejściowe 2 8 8 2" xfId="12568"/>
    <cellStyle name="Dane wejściowe 2 8 8 3" xfId="12569"/>
    <cellStyle name="Dane wejściowe 2 8 8 4" xfId="12570"/>
    <cellStyle name="Dane wejściowe 2 8 9" xfId="12571"/>
    <cellStyle name="Dane wejściowe 2 8 9 2" xfId="12572"/>
    <cellStyle name="Dane wejściowe 2 8 9 3" xfId="12573"/>
    <cellStyle name="Dane wejściowe 2 8 9 4" xfId="12574"/>
    <cellStyle name="Dane wejściowe 2 80" xfId="12575"/>
    <cellStyle name="Dane wejściowe 2 80 2" xfId="12576"/>
    <cellStyle name="Dane wejściowe 2 80 3" xfId="12577"/>
    <cellStyle name="Dane wejściowe 2 81" xfId="12578"/>
    <cellStyle name="Dane wejściowe 2 81 2" xfId="12579"/>
    <cellStyle name="Dane wejściowe 2 81 3" xfId="12580"/>
    <cellStyle name="Dane wejściowe 2 82" xfId="12581"/>
    <cellStyle name="Dane wejściowe 2 82 2" xfId="12582"/>
    <cellStyle name="Dane wejściowe 2 82 3" xfId="12583"/>
    <cellStyle name="Dane wejściowe 2 83" xfId="12584"/>
    <cellStyle name="Dane wejściowe 2 83 2" xfId="12585"/>
    <cellStyle name="Dane wejściowe 2 83 3" xfId="12586"/>
    <cellStyle name="Dane wejściowe 2 84" xfId="12587"/>
    <cellStyle name="Dane wejściowe 2 84 2" xfId="12588"/>
    <cellStyle name="Dane wejściowe 2 84 3" xfId="12589"/>
    <cellStyle name="Dane wejściowe 2 85" xfId="12590"/>
    <cellStyle name="Dane wejściowe 2 85 2" xfId="12591"/>
    <cellStyle name="Dane wejściowe 2 85 3" xfId="12592"/>
    <cellStyle name="Dane wejściowe 2 86" xfId="12593"/>
    <cellStyle name="Dane wejściowe 2 86 2" xfId="12594"/>
    <cellStyle name="Dane wejściowe 2 86 3" xfId="12595"/>
    <cellStyle name="Dane wejściowe 2 87" xfId="12596"/>
    <cellStyle name="Dane wejściowe 2 87 2" xfId="12597"/>
    <cellStyle name="Dane wejściowe 2 87 3" xfId="12598"/>
    <cellStyle name="Dane wejściowe 2 88" xfId="12599"/>
    <cellStyle name="Dane wejściowe 2 9" xfId="12600"/>
    <cellStyle name="Dane wejściowe 2 9 10" xfId="12601"/>
    <cellStyle name="Dane wejściowe 2 9 10 2" xfId="12602"/>
    <cellStyle name="Dane wejściowe 2 9 10 3" xfId="12603"/>
    <cellStyle name="Dane wejściowe 2 9 10 4" xfId="12604"/>
    <cellStyle name="Dane wejściowe 2 9 11" xfId="12605"/>
    <cellStyle name="Dane wejściowe 2 9 11 2" xfId="12606"/>
    <cellStyle name="Dane wejściowe 2 9 11 3" xfId="12607"/>
    <cellStyle name="Dane wejściowe 2 9 11 4" xfId="12608"/>
    <cellStyle name="Dane wejściowe 2 9 12" xfId="12609"/>
    <cellStyle name="Dane wejściowe 2 9 12 2" xfId="12610"/>
    <cellStyle name="Dane wejściowe 2 9 12 3" xfId="12611"/>
    <cellStyle name="Dane wejściowe 2 9 12 4" xfId="12612"/>
    <cellStyle name="Dane wejściowe 2 9 13" xfId="12613"/>
    <cellStyle name="Dane wejściowe 2 9 13 2" xfId="12614"/>
    <cellStyle name="Dane wejściowe 2 9 13 3" xfId="12615"/>
    <cellStyle name="Dane wejściowe 2 9 13 4" xfId="12616"/>
    <cellStyle name="Dane wejściowe 2 9 14" xfId="12617"/>
    <cellStyle name="Dane wejściowe 2 9 14 2" xfId="12618"/>
    <cellStyle name="Dane wejściowe 2 9 14 3" xfId="12619"/>
    <cellStyle name="Dane wejściowe 2 9 14 4" xfId="12620"/>
    <cellStyle name="Dane wejściowe 2 9 15" xfId="12621"/>
    <cellStyle name="Dane wejściowe 2 9 15 2" xfId="12622"/>
    <cellStyle name="Dane wejściowe 2 9 15 3" xfId="12623"/>
    <cellStyle name="Dane wejściowe 2 9 15 4" xfId="12624"/>
    <cellStyle name="Dane wejściowe 2 9 16" xfId="12625"/>
    <cellStyle name="Dane wejściowe 2 9 16 2" xfId="12626"/>
    <cellStyle name="Dane wejściowe 2 9 16 3" xfId="12627"/>
    <cellStyle name="Dane wejściowe 2 9 16 4" xfId="12628"/>
    <cellStyle name="Dane wejściowe 2 9 17" xfId="12629"/>
    <cellStyle name="Dane wejściowe 2 9 17 2" xfId="12630"/>
    <cellStyle name="Dane wejściowe 2 9 17 3" xfId="12631"/>
    <cellStyle name="Dane wejściowe 2 9 17 4" xfId="12632"/>
    <cellStyle name="Dane wejściowe 2 9 18" xfId="12633"/>
    <cellStyle name="Dane wejściowe 2 9 18 2" xfId="12634"/>
    <cellStyle name="Dane wejściowe 2 9 18 3" xfId="12635"/>
    <cellStyle name="Dane wejściowe 2 9 18 4" xfId="12636"/>
    <cellStyle name="Dane wejściowe 2 9 19" xfId="12637"/>
    <cellStyle name="Dane wejściowe 2 9 19 2" xfId="12638"/>
    <cellStyle name="Dane wejściowe 2 9 19 3" xfId="12639"/>
    <cellStyle name="Dane wejściowe 2 9 19 4" xfId="12640"/>
    <cellStyle name="Dane wejściowe 2 9 2" xfId="12641"/>
    <cellStyle name="Dane wejściowe 2 9 2 2" xfId="12642"/>
    <cellStyle name="Dane wejściowe 2 9 2 3" xfId="12643"/>
    <cellStyle name="Dane wejściowe 2 9 2 4" xfId="12644"/>
    <cellStyle name="Dane wejściowe 2 9 20" xfId="12645"/>
    <cellStyle name="Dane wejściowe 2 9 20 2" xfId="12646"/>
    <cellStyle name="Dane wejściowe 2 9 20 3" xfId="12647"/>
    <cellStyle name="Dane wejściowe 2 9 20 4" xfId="12648"/>
    <cellStyle name="Dane wejściowe 2 9 21" xfId="12649"/>
    <cellStyle name="Dane wejściowe 2 9 21 2" xfId="12650"/>
    <cellStyle name="Dane wejściowe 2 9 21 3" xfId="12651"/>
    <cellStyle name="Dane wejściowe 2 9 22" xfId="12652"/>
    <cellStyle name="Dane wejściowe 2 9 22 2" xfId="12653"/>
    <cellStyle name="Dane wejściowe 2 9 22 3" xfId="12654"/>
    <cellStyle name="Dane wejściowe 2 9 23" xfId="12655"/>
    <cellStyle name="Dane wejściowe 2 9 23 2" xfId="12656"/>
    <cellStyle name="Dane wejściowe 2 9 23 3" xfId="12657"/>
    <cellStyle name="Dane wejściowe 2 9 24" xfId="12658"/>
    <cellStyle name="Dane wejściowe 2 9 24 2" xfId="12659"/>
    <cellStyle name="Dane wejściowe 2 9 24 3" xfId="12660"/>
    <cellStyle name="Dane wejściowe 2 9 25" xfId="12661"/>
    <cellStyle name="Dane wejściowe 2 9 25 2" xfId="12662"/>
    <cellStyle name="Dane wejściowe 2 9 25 3" xfId="12663"/>
    <cellStyle name="Dane wejściowe 2 9 26" xfId="12664"/>
    <cellStyle name="Dane wejściowe 2 9 26 2" xfId="12665"/>
    <cellStyle name="Dane wejściowe 2 9 26 3" xfId="12666"/>
    <cellStyle name="Dane wejściowe 2 9 27" xfId="12667"/>
    <cellStyle name="Dane wejściowe 2 9 27 2" xfId="12668"/>
    <cellStyle name="Dane wejściowe 2 9 27 3" xfId="12669"/>
    <cellStyle name="Dane wejściowe 2 9 28" xfId="12670"/>
    <cellStyle name="Dane wejściowe 2 9 28 2" xfId="12671"/>
    <cellStyle name="Dane wejściowe 2 9 28 3" xfId="12672"/>
    <cellStyle name="Dane wejściowe 2 9 29" xfId="12673"/>
    <cellStyle name="Dane wejściowe 2 9 29 2" xfId="12674"/>
    <cellStyle name="Dane wejściowe 2 9 29 3" xfId="12675"/>
    <cellStyle name="Dane wejściowe 2 9 3" xfId="12676"/>
    <cellStyle name="Dane wejściowe 2 9 3 2" xfId="12677"/>
    <cellStyle name="Dane wejściowe 2 9 3 3" xfId="12678"/>
    <cellStyle name="Dane wejściowe 2 9 3 4" xfId="12679"/>
    <cellStyle name="Dane wejściowe 2 9 30" xfId="12680"/>
    <cellStyle name="Dane wejściowe 2 9 30 2" xfId="12681"/>
    <cellStyle name="Dane wejściowe 2 9 30 3" xfId="12682"/>
    <cellStyle name="Dane wejściowe 2 9 31" xfId="12683"/>
    <cellStyle name="Dane wejściowe 2 9 31 2" xfId="12684"/>
    <cellStyle name="Dane wejściowe 2 9 31 3" xfId="12685"/>
    <cellStyle name="Dane wejściowe 2 9 32" xfId="12686"/>
    <cellStyle name="Dane wejściowe 2 9 32 2" xfId="12687"/>
    <cellStyle name="Dane wejściowe 2 9 32 3" xfId="12688"/>
    <cellStyle name="Dane wejściowe 2 9 33" xfId="12689"/>
    <cellStyle name="Dane wejściowe 2 9 33 2" xfId="12690"/>
    <cellStyle name="Dane wejściowe 2 9 33 3" xfId="12691"/>
    <cellStyle name="Dane wejściowe 2 9 34" xfId="12692"/>
    <cellStyle name="Dane wejściowe 2 9 34 2" xfId="12693"/>
    <cellStyle name="Dane wejściowe 2 9 34 3" xfId="12694"/>
    <cellStyle name="Dane wejściowe 2 9 35" xfId="12695"/>
    <cellStyle name="Dane wejściowe 2 9 35 2" xfId="12696"/>
    <cellStyle name="Dane wejściowe 2 9 35 3" xfId="12697"/>
    <cellStyle name="Dane wejściowe 2 9 36" xfId="12698"/>
    <cellStyle name="Dane wejściowe 2 9 36 2" xfId="12699"/>
    <cellStyle name="Dane wejściowe 2 9 36 3" xfId="12700"/>
    <cellStyle name="Dane wejściowe 2 9 37" xfId="12701"/>
    <cellStyle name="Dane wejściowe 2 9 37 2" xfId="12702"/>
    <cellStyle name="Dane wejściowe 2 9 37 3" xfId="12703"/>
    <cellStyle name="Dane wejściowe 2 9 38" xfId="12704"/>
    <cellStyle name="Dane wejściowe 2 9 38 2" xfId="12705"/>
    <cellStyle name="Dane wejściowe 2 9 38 3" xfId="12706"/>
    <cellStyle name="Dane wejściowe 2 9 39" xfId="12707"/>
    <cellStyle name="Dane wejściowe 2 9 39 2" xfId="12708"/>
    <cellStyle name="Dane wejściowe 2 9 39 3" xfId="12709"/>
    <cellStyle name="Dane wejściowe 2 9 4" xfId="12710"/>
    <cellStyle name="Dane wejściowe 2 9 4 2" xfId="12711"/>
    <cellStyle name="Dane wejściowe 2 9 4 3" xfId="12712"/>
    <cellStyle name="Dane wejściowe 2 9 4 4" xfId="12713"/>
    <cellStyle name="Dane wejściowe 2 9 40" xfId="12714"/>
    <cellStyle name="Dane wejściowe 2 9 40 2" xfId="12715"/>
    <cellStyle name="Dane wejściowe 2 9 40 3" xfId="12716"/>
    <cellStyle name="Dane wejściowe 2 9 41" xfId="12717"/>
    <cellStyle name="Dane wejściowe 2 9 41 2" xfId="12718"/>
    <cellStyle name="Dane wejściowe 2 9 41 3" xfId="12719"/>
    <cellStyle name="Dane wejściowe 2 9 42" xfId="12720"/>
    <cellStyle name="Dane wejściowe 2 9 42 2" xfId="12721"/>
    <cellStyle name="Dane wejściowe 2 9 42 3" xfId="12722"/>
    <cellStyle name="Dane wejściowe 2 9 43" xfId="12723"/>
    <cellStyle name="Dane wejściowe 2 9 43 2" xfId="12724"/>
    <cellStyle name="Dane wejściowe 2 9 43 3" xfId="12725"/>
    <cellStyle name="Dane wejściowe 2 9 44" xfId="12726"/>
    <cellStyle name="Dane wejściowe 2 9 44 2" xfId="12727"/>
    <cellStyle name="Dane wejściowe 2 9 44 3" xfId="12728"/>
    <cellStyle name="Dane wejściowe 2 9 45" xfId="12729"/>
    <cellStyle name="Dane wejściowe 2 9 45 2" xfId="12730"/>
    <cellStyle name="Dane wejściowe 2 9 45 3" xfId="12731"/>
    <cellStyle name="Dane wejściowe 2 9 46" xfId="12732"/>
    <cellStyle name="Dane wejściowe 2 9 46 2" xfId="12733"/>
    <cellStyle name="Dane wejściowe 2 9 46 3" xfId="12734"/>
    <cellStyle name="Dane wejściowe 2 9 47" xfId="12735"/>
    <cellStyle name="Dane wejściowe 2 9 47 2" xfId="12736"/>
    <cellStyle name="Dane wejściowe 2 9 47 3" xfId="12737"/>
    <cellStyle name="Dane wejściowe 2 9 48" xfId="12738"/>
    <cellStyle name="Dane wejściowe 2 9 48 2" xfId="12739"/>
    <cellStyle name="Dane wejściowe 2 9 48 3" xfId="12740"/>
    <cellStyle name="Dane wejściowe 2 9 49" xfId="12741"/>
    <cellStyle name="Dane wejściowe 2 9 49 2" xfId="12742"/>
    <cellStyle name="Dane wejściowe 2 9 49 3" xfId="12743"/>
    <cellStyle name="Dane wejściowe 2 9 5" xfId="12744"/>
    <cellStyle name="Dane wejściowe 2 9 5 2" xfId="12745"/>
    <cellStyle name="Dane wejściowe 2 9 5 3" xfId="12746"/>
    <cellStyle name="Dane wejściowe 2 9 5 4" xfId="12747"/>
    <cellStyle name="Dane wejściowe 2 9 50" xfId="12748"/>
    <cellStyle name="Dane wejściowe 2 9 50 2" xfId="12749"/>
    <cellStyle name="Dane wejściowe 2 9 50 3" xfId="12750"/>
    <cellStyle name="Dane wejściowe 2 9 51" xfId="12751"/>
    <cellStyle name="Dane wejściowe 2 9 51 2" xfId="12752"/>
    <cellStyle name="Dane wejściowe 2 9 51 3" xfId="12753"/>
    <cellStyle name="Dane wejściowe 2 9 52" xfId="12754"/>
    <cellStyle name="Dane wejściowe 2 9 52 2" xfId="12755"/>
    <cellStyle name="Dane wejściowe 2 9 52 3" xfId="12756"/>
    <cellStyle name="Dane wejściowe 2 9 53" xfId="12757"/>
    <cellStyle name="Dane wejściowe 2 9 53 2" xfId="12758"/>
    <cellStyle name="Dane wejściowe 2 9 53 3" xfId="12759"/>
    <cellStyle name="Dane wejściowe 2 9 54" xfId="12760"/>
    <cellStyle name="Dane wejściowe 2 9 54 2" xfId="12761"/>
    <cellStyle name="Dane wejściowe 2 9 54 3" xfId="12762"/>
    <cellStyle name="Dane wejściowe 2 9 55" xfId="12763"/>
    <cellStyle name="Dane wejściowe 2 9 55 2" xfId="12764"/>
    <cellStyle name="Dane wejściowe 2 9 55 3" xfId="12765"/>
    <cellStyle name="Dane wejściowe 2 9 56" xfId="12766"/>
    <cellStyle name="Dane wejściowe 2 9 56 2" xfId="12767"/>
    <cellStyle name="Dane wejściowe 2 9 56 3" xfId="12768"/>
    <cellStyle name="Dane wejściowe 2 9 57" xfId="12769"/>
    <cellStyle name="Dane wejściowe 2 9 58" xfId="12770"/>
    <cellStyle name="Dane wejściowe 2 9 6" xfId="12771"/>
    <cellStyle name="Dane wejściowe 2 9 6 2" xfId="12772"/>
    <cellStyle name="Dane wejściowe 2 9 6 3" xfId="12773"/>
    <cellStyle name="Dane wejściowe 2 9 6 4" xfId="12774"/>
    <cellStyle name="Dane wejściowe 2 9 7" xfId="12775"/>
    <cellStyle name="Dane wejściowe 2 9 7 2" xfId="12776"/>
    <cellStyle name="Dane wejściowe 2 9 7 3" xfId="12777"/>
    <cellStyle name="Dane wejściowe 2 9 7 4" xfId="12778"/>
    <cellStyle name="Dane wejściowe 2 9 8" xfId="12779"/>
    <cellStyle name="Dane wejściowe 2 9 8 2" xfId="12780"/>
    <cellStyle name="Dane wejściowe 2 9 8 3" xfId="12781"/>
    <cellStyle name="Dane wejściowe 2 9 8 4" xfId="12782"/>
    <cellStyle name="Dane wejściowe 2 9 9" xfId="12783"/>
    <cellStyle name="Dane wejściowe 2 9 9 2" xfId="12784"/>
    <cellStyle name="Dane wejściowe 2 9 9 3" xfId="12785"/>
    <cellStyle name="Dane wejściowe 2 9 9 4" xfId="12786"/>
    <cellStyle name="Dane wejściowe 3" xfId="12787"/>
    <cellStyle name="Dane wejściowe 3 2" xfId="12788"/>
    <cellStyle name="Dane wejściowe 3 2 2" xfId="12789"/>
    <cellStyle name="Dane wejściowe 3 3" xfId="12790"/>
    <cellStyle name="Dane wejściowe 3 4" xfId="12791"/>
    <cellStyle name="Dane wejściowe 3 5" xfId="12792"/>
    <cellStyle name="Dane wejściowe 3 6" xfId="12793"/>
    <cellStyle name="Dane wejściowe 3 7" xfId="12794"/>
    <cellStyle name="Dane wejściowe 3 8" xfId="12795"/>
    <cellStyle name="Dane wejściowe 3 9" xfId="12796"/>
    <cellStyle name="Dane wejściowe 4" xfId="12797"/>
    <cellStyle name="Dane wejściowe 4 2" xfId="12798"/>
    <cellStyle name="Dane wejściowe 4 3" xfId="12799"/>
    <cellStyle name="Dane wejściowe 4 4" xfId="12800"/>
    <cellStyle name="Dane wejściowe 4 5" xfId="12801"/>
    <cellStyle name="Dane wejściowe 4 6" xfId="12802"/>
    <cellStyle name="Dane wejściowe 4 7" xfId="12803"/>
    <cellStyle name="Dane wejściowe 4 8" xfId="12804"/>
    <cellStyle name="Dane wejściowe 4 9" xfId="12805"/>
    <cellStyle name="Dane wejściowe 5" xfId="12806"/>
    <cellStyle name="Dane wejściowe 5 2" xfId="12807"/>
    <cellStyle name="Dane wejściowe 6" xfId="12808"/>
    <cellStyle name="Dane wejściowe 7" xfId="12809"/>
    <cellStyle name="Dane wyjściowe 2" xfId="12810"/>
    <cellStyle name="Dane wyjściowe 2 10" xfId="12811"/>
    <cellStyle name="Dane wyjściowe 2 10 10" xfId="12812"/>
    <cellStyle name="Dane wyjściowe 2 10 10 2" xfId="12813"/>
    <cellStyle name="Dane wyjściowe 2 10 10 3" xfId="12814"/>
    <cellStyle name="Dane wyjściowe 2 10 10 4" xfId="12815"/>
    <cellStyle name="Dane wyjściowe 2 10 11" xfId="12816"/>
    <cellStyle name="Dane wyjściowe 2 10 11 2" xfId="12817"/>
    <cellStyle name="Dane wyjściowe 2 10 11 3" xfId="12818"/>
    <cellStyle name="Dane wyjściowe 2 10 11 4" xfId="12819"/>
    <cellStyle name="Dane wyjściowe 2 10 12" xfId="12820"/>
    <cellStyle name="Dane wyjściowe 2 10 12 2" xfId="12821"/>
    <cellStyle name="Dane wyjściowe 2 10 12 3" xfId="12822"/>
    <cellStyle name="Dane wyjściowe 2 10 12 4" xfId="12823"/>
    <cellStyle name="Dane wyjściowe 2 10 13" xfId="12824"/>
    <cellStyle name="Dane wyjściowe 2 10 13 2" xfId="12825"/>
    <cellStyle name="Dane wyjściowe 2 10 13 3" xfId="12826"/>
    <cellStyle name="Dane wyjściowe 2 10 13 4" xfId="12827"/>
    <cellStyle name="Dane wyjściowe 2 10 14" xfId="12828"/>
    <cellStyle name="Dane wyjściowe 2 10 14 2" xfId="12829"/>
    <cellStyle name="Dane wyjściowe 2 10 14 3" xfId="12830"/>
    <cellStyle name="Dane wyjściowe 2 10 14 4" xfId="12831"/>
    <cellStyle name="Dane wyjściowe 2 10 15" xfId="12832"/>
    <cellStyle name="Dane wyjściowe 2 10 15 2" xfId="12833"/>
    <cellStyle name="Dane wyjściowe 2 10 15 3" xfId="12834"/>
    <cellStyle name="Dane wyjściowe 2 10 15 4" xfId="12835"/>
    <cellStyle name="Dane wyjściowe 2 10 16" xfId="12836"/>
    <cellStyle name="Dane wyjściowe 2 10 16 2" xfId="12837"/>
    <cellStyle name="Dane wyjściowe 2 10 16 3" xfId="12838"/>
    <cellStyle name="Dane wyjściowe 2 10 16 4" xfId="12839"/>
    <cellStyle name="Dane wyjściowe 2 10 17" xfId="12840"/>
    <cellStyle name="Dane wyjściowe 2 10 17 2" xfId="12841"/>
    <cellStyle name="Dane wyjściowe 2 10 17 3" xfId="12842"/>
    <cellStyle name="Dane wyjściowe 2 10 17 4" xfId="12843"/>
    <cellStyle name="Dane wyjściowe 2 10 18" xfId="12844"/>
    <cellStyle name="Dane wyjściowe 2 10 18 2" xfId="12845"/>
    <cellStyle name="Dane wyjściowe 2 10 18 3" xfId="12846"/>
    <cellStyle name="Dane wyjściowe 2 10 18 4" xfId="12847"/>
    <cellStyle name="Dane wyjściowe 2 10 19" xfId="12848"/>
    <cellStyle name="Dane wyjściowe 2 10 19 2" xfId="12849"/>
    <cellStyle name="Dane wyjściowe 2 10 19 3" xfId="12850"/>
    <cellStyle name="Dane wyjściowe 2 10 19 4" xfId="12851"/>
    <cellStyle name="Dane wyjściowe 2 10 2" xfId="12852"/>
    <cellStyle name="Dane wyjściowe 2 10 2 2" xfId="12853"/>
    <cellStyle name="Dane wyjściowe 2 10 2 3" xfId="12854"/>
    <cellStyle name="Dane wyjściowe 2 10 2 4" xfId="12855"/>
    <cellStyle name="Dane wyjściowe 2 10 20" xfId="12856"/>
    <cellStyle name="Dane wyjściowe 2 10 20 2" xfId="12857"/>
    <cellStyle name="Dane wyjściowe 2 10 20 3" xfId="12858"/>
    <cellStyle name="Dane wyjściowe 2 10 20 4" xfId="12859"/>
    <cellStyle name="Dane wyjściowe 2 10 21" xfId="12860"/>
    <cellStyle name="Dane wyjściowe 2 10 21 2" xfId="12861"/>
    <cellStyle name="Dane wyjściowe 2 10 21 3" xfId="12862"/>
    <cellStyle name="Dane wyjściowe 2 10 22" xfId="12863"/>
    <cellStyle name="Dane wyjściowe 2 10 22 2" xfId="12864"/>
    <cellStyle name="Dane wyjściowe 2 10 22 3" xfId="12865"/>
    <cellStyle name="Dane wyjściowe 2 10 23" xfId="12866"/>
    <cellStyle name="Dane wyjściowe 2 10 23 2" xfId="12867"/>
    <cellStyle name="Dane wyjściowe 2 10 23 3" xfId="12868"/>
    <cellStyle name="Dane wyjściowe 2 10 24" xfId="12869"/>
    <cellStyle name="Dane wyjściowe 2 10 24 2" xfId="12870"/>
    <cellStyle name="Dane wyjściowe 2 10 24 3" xfId="12871"/>
    <cellStyle name="Dane wyjściowe 2 10 25" xfId="12872"/>
    <cellStyle name="Dane wyjściowe 2 10 25 2" xfId="12873"/>
    <cellStyle name="Dane wyjściowe 2 10 25 3" xfId="12874"/>
    <cellStyle name="Dane wyjściowe 2 10 26" xfId="12875"/>
    <cellStyle name="Dane wyjściowe 2 10 26 2" xfId="12876"/>
    <cellStyle name="Dane wyjściowe 2 10 26 3" xfId="12877"/>
    <cellStyle name="Dane wyjściowe 2 10 27" xfId="12878"/>
    <cellStyle name="Dane wyjściowe 2 10 27 2" xfId="12879"/>
    <cellStyle name="Dane wyjściowe 2 10 27 3" xfId="12880"/>
    <cellStyle name="Dane wyjściowe 2 10 28" xfId="12881"/>
    <cellStyle name="Dane wyjściowe 2 10 28 2" xfId="12882"/>
    <cellStyle name="Dane wyjściowe 2 10 28 3" xfId="12883"/>
    <cellStyle name="Dane wyjściowe 2 10 29" xfId="12884"/>
    <cellStyle name="Dane wyjściowe 2 10 29 2" xfId="12885"/>
    <cellStyle name="Dane wyjściowe 2 10 29 3" xfId="12886"/>
    <cellStyle name="Dane wyjściowe 2 10 3" xfId="12887"/>
    <cellStyle name="Dane wyjściowe 2 10 3 2" xfId="12888"/>
    <cellStyle name="Dane wyjściowe 2 10 3 3" xfId="12889"/>
    <cellStyle name="Dane wyjściowe 2 10 3 4" xfId="12890"/>
    <cellStyle name="Dane wyjściowe 2 10 30" xfId="12891"/>
    <cellStyle name="Dane wyjściowe 2 10 30 2" xfId="12892"/>
    <cellStyle name="Dane wyjściowe 2 10 30 3" xfId="12893"/>
    <cellStyle name="Dane wyjściowe 2 10 31" xfId="12894"/>
    <cellStyle name="Dane wyjściowe 2 10 31 2" xfId="12895"/>
    <cellStyle name="Dane wyjściowe 2 10 31 3" xfId="12896"/>
    <cellStyle name="Dane wyjściowe 2 10 32" xfId="12897"/>
    <cellStyle name="Dane wyjściowe 2 10 32 2" xfId="12898"/>
    <cellStyle name="Dane wyjściowe 2 10 32 3" xfId="12899"/>
    <cellStyle name="Dane wyjściowe 2 10 33" xfId="12900"/>
    <cellStyle name="Dane wyjściowe 2 10 33 2" xfId="12901"/>
    <cellStyle name="Dane wyjściowe 2 10 33 3" xfId="12902"/>
    <cellStyle name="Dane wyjściowe 2 10 34" xfId="12903"/>
    <cellStyle name="Dane wyjściowe 2 10 34 2" xfId="12904"/>
    <cellStyle name="Dane wyjściowe 2 10 34 3" xfId="12905"/>
    <cellStyle name="Dane wyjściowe 2 10 35" xfId="12906"/>
    <cellStyle name="Dane wyjściowe 2 10 35 2" xfId="12907"/>
    <cellStyle name="Dane wyjściowe 2 10 35 3" xfId="12908"/>
    <cellStyle name="Dane wyjściowe 2 10 36" xfId="12909"/>
    <cellStyle name="Dane wyjściowe 2 10 36 2" xfId="12910"/>
    <cellStyle name="Dane wyjściowe 2 10 36 3" xfId="12911"/>
    <cellStyle name="Dane wyjściowe 2 10 37" xfId="12912"/>
    <cellStyle name="Dane wyjściowe 2 10 37 2" xfId="12913"/>
    <cellStyle name="Dane wyjściowe 2 10 37 3" xfId="12914"/>
    <cellStyle name="Dane wyjściowe 2 10 38" xfId="12915"/>
    <cellStyle name="Dane wyjściowe 2 10 38 2" xfId="12916"/>
    <cellStyle name="Dane wyjściowe 2 10 38 3" xfId="12917"/>
    <cellStyle name="Dane wyjściowe 2 10 39" xfId="12918"/>
    <cellStyle name="Dane wyjściowe 2 10 39 2" xfId="12919"/>
    <cellStyle name="Dane wyjściowe 2 10 39 3" xfId="12920"/>
    <cellStyle name="Dane wyjściowe 2 10 4" xfId="12921"/>
    <cellStyle name="Dane wyjściowe 2 10 4 2" xfId="12922"/>
    <cellStyle name="Dane wyjściowe 2 10 4 3" xfId="12923"/>
    <cellStyle name="Dane wyjściowe 2 10 4 4" xfId="12924"/>
    <cellStyle name="Dane wyjściowe 2 10 40" xfId="12925"/>
    <cellStyle name="Dane wyjściowe 2 10 40 2" xfId="12926"/>
    <cellStyle name="Dane wyjściowe 2 10 40 3" xfId="12927"/>
    <cellStyle name="Dane wyjściowe 2 10 41" xfId="12928"/>
    <cellStyle name="Dane wyjściowe 2 10 41 2" xfId="12929"/>
    <cellStyle name="Dane wyjściowe 2 10 41 3" xfId="12930"/>
    <cellStyle name="Dane wyjściowe 2 10 42" xfId="12931"/>
    <cellStyle name="Dane wyjściowe 2 10 42 2" xfId="12932"/>
    <cellStyle name="Dane wyjściowe 2 10 42 3" xfId="12933"/>
    <cellStyle name="Dane wyjściowe 2 10 43" xfId="12934"/>
    <cellStyle name="Dane wyjściowe 2 10 43 2" xfId="12935"/>
    <cellStyle name="Dane wyjściowe 2 10 43 3" xfId="12936"/>
    <cellStyle name="Dane wyjściowe 2 10 44" xfId="12937"/>
    <cellStyle name="Dane wyjściowe 2 10 44 2" xfId="12938"/>
    <cellStyle name="Dane wyjściowe 2 10 44 3" xfId="12939"/>
    <cellStyle name="Dane wyjściowe 2 10 45" xfId="12940"/>
    <cellStyle name="Dane wyjściowe 2 10 45 2" xfId="12941"/>
    <cellStyle name="Dane wyjściowe 2 10 45 3" xfId="12942"/>
    <cellStyle name="Dane wyjściowe 2 10 46" xfId="12943"/>
    <cellStyle name="Dane wyjściowe 2 10 46 2" xfId="12944"/>
    <cellStyle name="Dane wyjściowe 2 10 46 3" xfId="12945"/>
    <cellStyle name="Dane wyjściowe 2 10 47" xfId="12946"/>
    <cellStyle name="Dane wyjściowe 2 10 47 2" xfId="12947"/>
    <cellStyle name="Dane wyjściowe 2 10 47 3" xfId="12948"/>
    <cellStyle name="Dane wyjściowe 2 10 48" xfId="12949"/>
    <cellStyle name="Dane wyjściowe 2 10 48 2" xfId="12950"/>
    <cellStyle name="Dane wyjściowe 2 10 48 3" xfId="12951"/>
    <cellStyle name="Dane wyjściowe 2 10 49" xfId="12952"/>
    <cellStyle name="Dane wyjściowe 2 10 49 2" xfId="12953"/>
    <cellStyle name="Dane wyjściowe 2 10 49 3" xfId="12954"/>
    <cellStyle name="Dane wyjściowe 2 10 5" xfId="12955"/>
    <cellStyle name="Dane wyjściowe 2 10 5 2" xfId="12956"/>
    <cellStyle name="Dane wyjściowe 2 10 5 3" xfId="12957"/>
    <cellStyle name="Dane wyjściowe 2 10 5 4" xfId="12958"/>
    <cellStyle name="Dane wyjściowe 2 10 50" xfId="12959"/>
    <cellStyle name="Dane wyjściowe 2 10 50 2" xfId="12960"/>
    <cellStyle name="Dane wyjściowe 2 10 50 3" xfId="12961"/>
    <cellStyle name="Dane wyjściowe 2 10 51" xfId="12962"/>
    <cellStyle name="Dane wyjściowe 2 10 51 2" xfId="12963"/>
    <cellStyle name="Dane wyjściowe 2 10 51 3" xfId="12964"/>
    <cellStyle name="Dane wyjściowe 2 10 52" xfId="12965"/>
    <cellStyle name="Dane wyjściowe 2 10 52 2" xfId="12966"/>
    <cellStyle name="Dane wyjściowe 2 10 52 3" xfId="12967"/>
    <cellStyle name="Dane wyjściowe 2 10 53" xfId="12968"/>
    <cellStyle name="Dane wyjściowe 2 10 53 2" xfId="12969"/>
    <cellStyle name="Dane wyjściowe 2 10 53 3" xfId="12970"/>
    <cellStyle name="Dane wyjściowe 2 10 54" xfId="12971"/>
    <cellStyle name="Dane wyjściowe 2 10 54 2" xfId="12972"/>
    <cellStyle name="Dane wyjściowe 2 10 54 3" xfId="12973"/>
    <cellStyle name="Dane wyjściowe 2 10 55" xfId="12974"/>
    <cellStyle name="Dane wyjściowe 2 10 55 2" xfId="12975"/>
    <cellStyle name="Dane wyjściowe 2 10 55 3" xfId="12976"/>
    <cellStyle name="Dane wyjściowe 2 10 56" xfId="12977"/>
    <cellStyle name="Dane wyjściowe 2 10 56 2" xfId="12978"/>
    <cellStyle name="Dane wyjściowe 2 10 56 3" xfId="12979"/>
    <cellStyle name="Dane wyjściowe 2 10 57" xfId="12980"/>
    <cellStyle name="Dane wyjściowe 2 10 58" xfId="12981"/>
    <cellStyle name="Dane wyjściowe 2 10 6" xfId="12982"/>
    <cellStyle name="Dane wyjściowe 2 10 6 2" xfId="12983"/>
    <cellStyle name="Dane wyjściowe 2 10 6 3" xfId="12984"/>
    <cellStyle name="Dane wyjściowe 2 10 6 4" xfId="12985"/>
    <cellStyle name="Dane wyjściowe 2 10 7" xfId="12986"/>
    <cellStyle name="Dane wyjściowe 2 10 7 2" xfId="12987"/>
    <cellStyle name="Dane wyjściowe 2 10 7 3" xfId="12988"/>
    <cellStyle name="Dane wyjściowe 2 10 7 4" xfId="12989"/>
    <cellStyle name="Dane wyjściowe 2 10 8" xfId="12990"/>
    <cellStyle name="Dane wyjściowe 2 10 8 2" xfId="12991"/>
    <cellStyle name="Dane wyjściowe 2 10 8 3" xfId="12992"/>
    <cellStyle name="Dane wyjściowe 2 10 8 4" xfId="12993"/>
    <cellStyle name="Dane wyjściowe 2 10 9" xfId="12994"/>
    <cellStyle name="Dane wyjściowe 2 10 9 2" xfId="12995"/>
    <cellStyle name="Dane wyjściowe 2 10 9 3" xfId="12996"/>
    <cellStyle name="Dane wyjściowe 2 10 9 4" xfId="12997"/>
    <cellStyle name="Dane wyjściowe 2 11" xfId="12998"/>
    <cellStyle name="Dane wyjściowe 2 11 10" xfId="12999"/>
    <cellStyle name="Dane wyjściowe 2 11 10 2" xfId="13000"/>
    <cellStyle name="Dane wyjściowe 2 11 10 3" xfId="13001"/>
    <cellStyle name="Dane wyjściowe 2 11 10 4" xfId="13002"/>
    <cellStyle name="Dane wyjściowe 2 11 11" xfId="13003"/>
    <cellStyle name="Dane wyjściowe 2 11 11 2" xfId="13004"/>
    <cellStyle name="Dane wyjściowe 2 11 11 3" xfId="13005"/>
    <cellStyle name="Dane wyjściowe 2 11 11 4" xfId="13006"/>
    <cellStyle name="Dane wyjściowe 2 11 12" xfId="13007"/>
    <cellStyle name="Dane wyjściowe 2 11 12 2" xfId="13008"/>
    <cellStyle name="Dane wyjściowe 2 11 12 3" xfId="13009"/>
    <cellStyle name="Dane wyjściowe 2 11 12 4" xfId="13010"/>
    <cellStyle name="Dane wyjściowe 2 11 13" xfId="13011"/>
    <cellStyle name="Dane wyjściowe 2 11 13 2" xfId="13012"/>
    <cellStyle name="Dane wyjściowe 2 11 13 3" xfId="13013"/>
    <cellStyle name="Dane wyjściowe 2 11 13 4" xfId="13014"/>
    <cellStyle name="Dane wyjściowe 2 11 14" xfId="13015"/>
    <cellStyle name="Dane wyjściowe 2 11 14 2" xfId="13016"/>
    <cellStyle name="Dane wyjściowe 2 11 14 3" xfId="13017"/>
    <cellStyle name="Dane wyjściowe 2 11 14 4" xfId="13018"/>
    <cellStyle name="Dane wyjściowe 2 11 15" xfId="13019"/>
    <cellStyle name="Dane wyjściowe 2 11 15 2" xfId="13020"/>
    <cellStyle name="Dane wyjściowe 2 11 15 3" xfId="13021"/>
    <cellStyle name="Dane wyjściowe 2 11 15 4" xfId="13022"/>
    <cellStyle name="Dane wyjściowe 2 11 16" xfId="13023"/>
    <cellStyle name="Dane wyjściowe 2 11 16 2" xfId="13024"/>
    <cellStyle name="Dane wyjściowe 2 11 16 3" xfId="13025"/>
    <cellStyle name="Dane wyjściowe 2 11 16 4" xfId="13026"/>
    <cellStyle name="Dane wyjściowe 2 11 17" xfId="13027"/>
    <cellStyle name="Dane wyjściowe 2 11 17 2" xfId="13028"/>
    <cellStyle name="Dane wyjściowe 2 11 17 3" xfId="13029"/>
    <cellStyle name="Dane wyjściowe 2 11 17 4" xfId="13030"/>
    <cellStyle name="Dane wyjściowe 2 11 18" xfId="13031"/>
    <cellStyle name="Dane wyjściowe 2 11 18 2" xfId="13032"/>
    <cellStyle name="Dane wyjściowe 2 11 18 3" xfId="13033"/>
    <cellStyle name="Dane wyjściowe 2 11 18 4" xfId="13034"/>
    <cellStyle name="Dane wyjściowe 2 11 19" xfId="13035"/>
    <cellStyle name="Dane wyjściowe 2 11 19 2" xfId="13036"/>
    <cellStyle name="Dane wyjściowe 2 11 19 3" xfId="13037"/>
    <cellStyle name="Dane wyjściowe 2 11 19 4" xfId="13038"/>
    <cellStyle name="Dane wyjściowe 2 11 2" xfId="13039"/>
    <cellStyle name="Dane wyjściowe 2 11 2 2" xfId="13040"/>
    <cellStyle name="Dane wyjściowe 2 11 2 3" xfId="13041"/>
    <cellStyle name="Dane wyjściowe 2 11 2 4" xfId="13042"/>
    <cellStyle name="Dane wyjściowe 2 11 20" xfId="13043"/>
    <cellStyle name="Dane wyjściowe 2 11 20 2" xfId="13044"/>
    <cellStyle name="Dane wyjściowe 2 11 20 3" xfId="13045"/>
    <cellStyle name="Dane wyjściowe 2 11 20 4" xfId="13046"/>
    <cellStyle name="Dane wyjściowe 2 11 21" xfId="13047"/>
    <cellStyle name="Dane wyjściowe 2 11 21 2" xfId="13048"/>
    <cellStyle name="Dane wyjściowe 2 11 21 3" xfId="13049"/>
    <cellStyle name="Dane wyjściowe 2 11 22" xfId="13050"/>
    <cellStyle name="Dane wyjściowe 2 11 22 2" xfId="13051"/>
    <cellStyle name="Dane wyjściowe 2 11 22 3" xfId="13052"/>
    <cellStyle name="Dane wyjściowe 2 11 23" xfId="13053"/>
    <cellStyle name="Dane wyjściowe 2 11 23 2" xfId="13054"/>
    <cellStyle name="Dane wyjściowe 2 11 23 3" xfId="13055"/>
    <cellStyle name="Dane wyjściowe 2 11 24" xfId="13056"/>
    <cellStyle name="Dane wyjściowe 2 11 24 2" xfId="13057"/>
    <cellStyle name="Dane wyjściowe 2 11 24 3" xfId="13058"/>
    <cellStyle name="Dane wyjściowe 2 11 25" xfId="13059"/>
    <cellStyle name="Dane wyjściowe 2 11 25 2" xfId="13060"/>
    <cellStyle name="Dane wyjściowe 2 11 25 3" xfId="13061"/>
    <cellStyle name="Dane wyjściowe 2 11 26" xfId="13062"/>
    <cellStyle name="Dane wyjściowe 2 11 26 2" xfId="13063"/>
    <cellStyle name="Dane wyjściowe 2 11 26 3" xfId="13064"/>
    <cellStyle name="Dane wyjściowe 2 11 27" xfId="13065"/>
    <cellStyle name="Dane wyjściowe 2 11 27 2" xfId="13066"/>
    <cellStyle name="Dane wyjściowe 2 11 27 3" xfId="13067"/>
    <cellStyle name="Dane wyjściowe 2 11 28" xfId="13068"/>
    <cellStyle name="Dane wyjściowe 2 11 28 2" xfId="13069"/>
    <cellStyle name="Dane wyjściowe 2 11 28 3" xfId="13070"/>
    <cellStyle name="Dane wyjściowe 2 11 29" xfId="13071"/>
    <cellStyle name="Dane wyjściowe 2 11 29 2" xfId="13072"/>
    <cellStyle name="Dane wyjściowe 2 11 29 3" xfId="13073"/>
    <cellStyle name="Dane wyjściowe 2 11 3" xfId="13074"/>
    <cellStyle name="Dane wyjściowe 2 11 3 2" xfId="13075"/>
    <cellStyle name="Dane wyjściowe 2 11 3 3" xfId="13076"/>
    <cellStyle name="Dane wyjściowe 2 11 3 4" xfId="13077"/>
    <cellStyle name="Dane wyjściowe 2 11 30" xfId="13078"/>
    <cellStyle name="Dane wyjściowe 2 11 30 2" xfId="13079"/>
    <cellStyle name="Dane wyjściowe 2 11 30 3" xfId="13080"/>
    <cellStyle name="Dane wyjściowe 2 11 31" xfId="13081"/>
    <cellStyle name="Dane wyjściowe 2 11 31 2" xfId="13082"/>
    <cellStyle name="Dane wyjściowe 2 11 31 3" xfId="13083"/>
    <cellStyle name="Dane wyjściowe 2 11 32" xfId="13084"/>
    <cellStyle name="Dane wyjściowe 2 11 32 2" xfId="13085"/>
    <cellStyle name="Dane wyjściowe 2 11 32 3" xfId="13086"/>
    <cellStyle name="Dane wyjściowe 2 11 33" xfId="13087"/>
    <cellStyle name="Dane wyjściowe 2 11 33 2" xfId="13088"/>
    <cellStyle name="Dane wyjściowe 2 11 33 3" xfId="13089"/>
    <cellStyle name="Dane wyjściowe 2 11 34" xfId="13090"/>
    <cellStyle name="Dane wyjściowe 2 11 34 2" xfId="13091"/>
    <cellStyle name="Dane wyjściowe 2 11 34 3" xfId="13092"/>
    <cellStyle name="Dane wyjściowe 2 11 35" xfId="13093"/>
    <cellStyle name="Dane wyjściowe 2 11 35 2" xfId="13094"/>
    <cellStyle name="Dane wyjściowe 2 11 35 3" xfId="13095"/>
    <cellStyle name="Dane wyjściowe 2 11 36" xfId="13096"/>
    <cellStyle name="Dane wyjściowe 2 11 36 2" xfId="13097"/>
    <cellStyle name="Dane wyjściowe 2 11 36 3" xfId="13098"/>
    <cellStyle name="Dane wyjściowe 2 11 37" xfId="13099"/>
    <cellStyle name="Dane wyjściowe 2 11 37 2" xfId="13100"/>
    <cellStyle name="Dane wyjściowe 2 11 37 3" xfId="13101"/>
    <cellStyle name="Dane wyjściowe 2 11 38" xfId="13102"/>
    <cellStyle name="Dane wyjściowe 2 11 38 2" xfId="13103"/>
    <cellStyle name="Dane wyjściowe 2 11 38 3" xfId="13104"/>
    <cellStyle name="Dane wyjściowe 2 11 39" xfId="13105"/>
    <cellStyle name="Dane wyjściowe 2 11 39 2" xfId="13106"/>
    <cellStyle name="Dane wyjściowe 2 11 39 3" xfId="13107"/>
    <cellStyle name="Dane wyjściowe 2 11 4" xfId="13108"/>
    <cellStyle name="Dane wyjściowe 2 11 4 2" xfId="13109"/>
    <cellStyle name="Dane wyjściowe 2 11 4 3" xfId="13110"/>
    <cellStyle name="Dane wyjściowe 2 11 4 4" xfId="13111"/>
    <cellStyle name="Dane wyjściowe 2 11 40" xfId="13112"/>
    <cellStyle name="Dane wyjściowe 2 11 40 2" xfId="13113"/>
    <cellStyle name="Dane wyjściowe 2 11 40 3" xfId="13114"/>
    <cellStyle name="Dane wyjściowe 2 11 41" xfId="13115"/>
    <cellStyle name="Dane wyjściowe 2 11 41 2" xfId="13116"/>
    <cellStyle name="Dane wyjściowe 2 11 41 3" xfId="13117"/>
    <cellStyle name="Dane wyjściowe 2 11 42" xfId="13118"/>
    <cellStyle name="Dane wyjściowe 2 11 42 2" xfId="13119"/>
    <cellStyle name="Dane wyjściowe 2 11 42 3" xfId="13120"/>
    <cellStyle name="Dane wyjściowe 2 11 43" xfId="13121"/>
    <cellStyle name="Dane wyjściowe 2 11 43 2" xfId="13122"/>
    <cellStyle name="Dane wyjściowe 2 11 43 3" xfId="13123"/>
    <cellStyle name="Dane wyjściowe 2 11 44" xfId="13124"/>
    <cellStyle name="Dane wyjściowe 2 11 44 2" xfId="13125"/>
    <cellStyle name="Dane wyjściowe 2 11 44 3" xfId="13126"/>
    <cellStyle name="Dane wyjściowe 2 11 45" xfId="13127"/>
    <cellStyle name="Dane wyjściowe 2 11 45 2" xfId="13128"/>
    <cellStyle name="Dane wyjściowe 2 11 45 3" xfId="13129"/>
    <cellStyle name="Dane wyjściowe 2 11 46" xfId="13130"/>
    <cellStyle name="Dane wyjściowe 2 11 46 2" xfId="13131"/>
    <cellStyle name="Dane wyjściowe 2 11 46 3" xfId="13132"/>
    <cellStyle name="Dane wyjściowe 2 11 47" xfId="13133"/>
    <cellStyle name="Dane wyjściowe 2 11 47 2" xfId="13134"/>
    <cellStyle name="Dane wyjściowe 2 11 47 3" xfId="13135"/>
    <cellStyle name="Dane wyjściowe 2 11 48" xfId="13136"/>
    <cellStyle name="Dane wyjściowe 2 11 48 2" xfId="13137"/>
    <cellStyle name="Dane wyjściowe 2 11 48 3" xfId="13138"/>
    <cellStyle name="Dane wyjściowe 2 11 49" xfId="13139"/>
    <cellStyle name="Dane wyjściowe 2 11 49 2" xfId="13140"/>
    <cellStyle name="Dane wyjściowe 2 11 49 3" xfId="13141"/>
    <cellStyle name="Dane wyjściowe 2 11 5" xfId="13142"/>
    <cellStyle name="Dane wyjściowe 2 11 5 2" xfId="13143"/>
    <cellStyle name="Dane wyjściowe 2 11 5 3" xfId="13144"/>
    <cellStyle name="Dane wyjściowe 2 11 5 4" xfId="13145"/>
    <cellStyle name="Dane wyjściowe 2 11 50" xfId="13146"/>
    <cellStyle name="Dane wyjściowe 2 11 50 2" xfId="13147"/>
    <cellStyle name="Dane wyjściowe 2 11 50 3" xfId="13148"/>
    <cellStyle name="Dane wyjściowe 2 11 51" xfId="13149"/>
    <cellStyle name="Dane wyjściowe 2 11 51 2" xfId="13150"/>
    <cellStyle name="Dane wyjściowe 2 11 51 3" xfId="13151"/>
    <cellStyle name="Dane wyjściowe 2 11 52" xfId="13152"/>
    <cellStyle name="Dane wyjściowe 2 11 52 2" xfId="13153"/>
    <cellStyle name="Dane wyjściowe 2 11 52 3" xfId="13154"/>
    <cellStyle name="Dane wyjściowe 2 11 53" xfId="13155"/>
    <cellStyle name="Dane wyjściowe 2 11 53 2" xfId="13156"/>
    <cellStyle name="Dane wyjściowe 2 11 53 3" xfId="13157"/>
    <cellStyle name="Dane wyjściowe 2 11 54" xfId="13158"/>
    <cellStyle name="Dane wyjściowe 2 11 54 2" xfId="13159"/>
    <cellStyle name="Dane wyjściowe 2 11 54 3" xfId="13160"/>
    <cellStyle name="Dane wyjściowe 2 11 55" xfId="13161"/>
    <cellStyle name="Dane wyjściowe 2 11 55 2" xfId="13162"/>
    <cellStyle name="Dane wyjściowe 2 11 55 3" xfId="13163"/>
    <cellStyle name="Dane wyjściowe 2 11 56" xfId="13164"/>
    <cellStyle name="Dane wyjściowe 2 11 56 2" xfId="13165"/>
    <cellStyle name="Dane wyjściowe 2 11 56 3" xfId="13166"/>
    <cellStyle name="Dane wyjściowe 2 11 57" xfId="13167"/>
    <cellStyle name="Dane wyjściowe 2 11 58" xfId="13168"/>
    <cellStyle name="Dane wyjściowe 2 11 6" xfId="13169"/>
    <cellStyle name="Dane wyjściowe 2 11 6 2" xfId="13170"/>
    <cellStyle name="Dane wyjściowe 2 11 6 3" xfId="13171"/>
    <cellStyle name="Dane wyjściowe 2 11 6 4" xfId="13172"/>
    <cellStyle name="Dane wyjściowe 2 11 7" xfId="13173"/>
    <cellStyle name="Dane wyjściowe 2 11 7 2" xfId="13174"/>
    <cellStyle name="Dane wyjściowe 2 11 7 3" xfId="13175"/>
    <cellStyle name="Dane wyjściowe 2 11 7 4" xfId="13176"/>
    <cellStyle name="Dane wyjściowe 2 11 8" xfId="13177"/>
    <cellStyle name="Dane wyjściowe 2 11 8 2" xfId="13178"/>
    <cellStyle name="Dane wyjściowe 2 11 8 3" xfId="13179"/>
    <cellStyle name="Dane wyjściowe 2 11 8 4" xfId="13180"/>
    <cellStyle name="Dane wyjściowe 2 11 9" xfId="13181"/>
    <cellStyle name="Dane wyjściowe 2 11 9 2" xfId="13182"/>
    <cellStyle name="Dane wyjściowe 2 11 9 3" xfId="13183"/>
    <cellStyle name="Dane wyjściowe 2 11 9 4" xfId="13184"/>
    <cellStyle name="Dane wyjściowe 2 12" xfId="13185"/>
    <cellStyle name="Dane wyjściowe 2 12 10" xfId="13186"/>
    <cellStyle name="Dane wyjściowe 2 12 10 2" xfId="13187"/>
    <cellStyle name="Dane wyjściowe 2 12 10 3" xfId="13188"/>
    <cellStyle name="Dane wyjściowe 2 12 10 4" xfId="13189"/>
    <cellStyle name="Dane wyjściowe 2 12 11" xfId="13190"/>
    <cellStyle name="Dane wyjściowe 2 12 11 2" xfId="13191"/>
    <cellStyle name="Dane wyjściowe 2 12 11 3" xfId="13192"/>
    <cellStyle name="Dane wyjściowe 2 12 11 4" xfId="13193"/>
    <cellStyle name="Dane wyjściowe 2 12 12" xfId="13194"/>
    <cellStyle name="Dane wyjściowe 2 12 12 2" xfId="13195"/>
    <cellStyle name="Dane wyjściowe 2 12 12 3" xfId="13196"/>
    <cellStyle name="Dane wyjściowe 2 12 12 4" xfId="13197"/>
    <cellStyle name="Dane wyjściowe 2 12 13" xfId="13198"/>
    <cellStyle name="Dane wyjściowe 2 12 13 2" xfId="13199"/>
    <cellStyle name="Dane wyjściowe 2 12 13 3" xfId="13200"/>
    <cellStyle name="Dane wyjściowe 2 12 13 4" xfId="13201"/>
    <cellStyle name="Dane wyjściowe 2 12 14" xfId="13202"/>
    <cellStyle name="Dane wyjściowe 2 12 14 2" xfId="13203"/>
    <cellStyle name="Dane wyjściowe 2 12 14 3" xfId="13204"/>
    <cellStyle name="Dane wyjściowe 2 12 14 4" xfId="13205"/>
    <cellStyle name="Dane wyjściowe 2 12 15" xfId="13206"/>
    <cellStyle name="Dane wyjściowe 2 12 15 2" xfId="13207"/>
    <cellStyle name="Dane wyjściowe 2 12 15 3" xfId="13208"/>
    <cellStyle name="Dane wyjściowe 2 12 15 4" xfId="13209"/>
    <cellStyle name="Dane wyjściowe 2 12 16" xfId="13210"/>
    <cellStyle name="Dane wyjściowe 2 12 16 2" xfId="13211"/>
    <cellStyle name="Dane wyjściowe 2 12 16 3" xfId="13212"/>
    <cellStyle name="Dane wyjściowe 2 12 16 4" xfId="13213"/>
    <cellStyle name="Dane wyjściowe 2 12 17" xfId="13214"/>
    <cellStyle name="Dane wyjściowe 2 12 17 2" xfId="13215"/>
    <cellStyle name="Dane wyjściowe 2 12 17 3" xfId="13216"/>
    <cellStyle name="Dane wyjściowe 2 12 17 4" xfId="13217"/>
    <cellStyle name="Dane wyjściowe 2 12 18" xfId="13218"/>
    <cellStyle name="Dane wyjściowe 2 12 18 2" xfId="13219"/>
    <cellStyle name="Dane wyjściowe 2 12 18 3" xfId="13220"/>
    <cellStyle name="Dane wyjściowe 2 12 18 4" xfId="13221"/>
    <cellStyle name="Dane wyjściowe 2 12 19" xfId="13222"/>
    <cellStyle name="Dane wyjściowe 2 12 19 2" xfId="13223"/>
    <cellStyle name="Dane wyjściowe 2 12 19 3" xfId="13224"/>
    <cellStyle name="Dane wyjściowe 2 12 19 4" xfId="13225"/>
    <cellStyle name="Dane wyjściowe 2 12 2" xfId="13226"/>
    <cellStyle name="Dane wyjściowe 2 12 2 2" xfId="13227"/>
    <cellStyle name="Dane wyjściowe 2 12 2 3" xfId="13228"/>
    <cellStyle name="Dane wyjściowe 2 12 2 4" xfId="13229"/>
    <cellStyle name="Dane wyjściowe 2 12 20" xfId="13230"/>
    <cellStyle name="Dane wyjściowe 2 12 20 2" xfId="13231"/>
    <cellStyle name="Dane wyjściowe 2 12 20 3" xfId="13232"/>
    <cellStyle name="Dane wyjściowe 2 12 20 4" xfId="13233"/>
    <cellStyle name="Dane wyjściowe 2 12 21" xfId="13234"/>
    <cellStyle name="Dane wyjściowe 2 12 21 2" xfId="13235"/>
    <cellStyle name="Dane wyjściowe 2 12 21 3" xfId="13236"/>
    <cellStyle name="Dane wyjściowe 2 12 22" xfId="13237"/>
    <cellStyle name="Dane wyjściowe 2 12 22 2" xfId="13238"/>
    <cellStyle name="Dane wyjściowe 2 12 22 3" xfId="13239"/>
    <cellStyle name="Dane wyjściowe 2 12 23" xfId="13240"/>
    <cellStyle name="Dane wyjściowe 2 12 23 2" xfId="13241"/>
    <cellStyle name="Dane wyjściowe 2 12 23 3" xfId="13242"/>
    <cellStyle name="Dane wyjściowe 2 12 24" xfId="13243"/>
    <cellStyle name="Dane wyjściowe 2 12 24 2" xfId="13244"/>
    <cellStyle name="Dane wyjściowe 2 12 24 3" xfId="13245"/>
    <cellStyle name="Dane wyjściowe 2 12 25" xfId="13246"/>
    <cellStyle name="Dane wyjściowe 2 12 25 2" xfId="13247"/>
    <cellStyle name="Dane wyjściowe 2 12 25 3" xfId="13248"/>
    <cellStyle name="Dane wyjściowe 2 12 26" xfId="13249"/>
    <cellStyle name="Dane wyjściowe 2 12 26 2" xfId="13250"/>
    <cellStyle name="Dane wyjściowe 2 12 26 3" xfId="13251"/>
    <cellStyle name="Dane wyjściowe 2 12 27" xfId="13252"/>
    <cellStyle name="Dane wyjściowe 2 12 27 2" xfId="13253"/>
    <cellStyle name="Dane wyjściowe 2 12 27 3" xfId="13254"/>
    <cellStyle name="Dane wyjściowe 2 12 28" xfId="13255"/>
    <cellStyle name="Dane wyjściowe 2 12 28 2" xfId="13256"/>
    <cellStyle name="Dane wyjściowe 2 12 28 3" xfId="13257"/>
    <cellStyle name="Dane wyjściowe 2 12 29" xfId="13258"/>
    <cellStyle name="Dane wyjściowe 2 12 29 2" xfId="13259"/>
    <cellStyle name="Dane wyjściowe 2 12 29 3" xfId="13260"/>
    <cellStyle name="Dane wyjściowe 2 12 3" xfId="13261"/>
    <cellStyle name="Dane wyjściowe 2 12 3 2" xfId="13262"/>
    <cellStyle name="Dane wyjściowe 2 12 3 3" xfId="13263"/>
    <cellStyle name="Dane wyjściowe 2 12 3 4" xfId="13264"/>
    <cellStyle name="Dane wyjściowe 2 12 30" xfId="13265"/>
    <cellStyle name="Dane wyjściowe 2 12 30 2" xfId="13266"/>
    <cellStyle name="Dane wyjściowe 2 12 30 3" xfId="13267"/>
    <cellStyle name="Dane wyjściowe 2 12 31" xfId="13268"/>
    <cellStyle name="Dane wyjściowe 2 12 31 2" xfId="13269"/>
    <cellStyle name="Dane wyjściowe 2 12 31 3" xfId="13270"/>
    <cellStyle name="Dane wyjściowe 2 12 32" xfId="13271"/>
    <cellStyle name="Dane wyjściowe 2 12 32 2" xfId="13272"/>
    <cellStyle name="Dane wyjściowe 2 12 32 3" xfId="13273"/>
    <cellStyle name="Dane wyjściowe 2 12 33" xfId="13274"/>
    <cellStyle name="Dane wyjściowe 2 12 33 2" xfId="13275"/>
    <cellStyle name="Dane wyjściowe 2 12 33 3" xfId="13276"/>
    <cellStyle name="Dane wyjściowe 2 12 34" xfId="13277"/>
    <cellStyle name="Dane wyjściowe 2 12 34 2" xfId="13278"/>
    <cellStyle name="Dane wyjściowe 2 12 34 3" xfId="13279"/>
    <cellStyle name="Dane wyjściowe 2 12 35" xfId="13280"/>
    <cellStyle name="Dane wyjściowe 2 12 35 2" xfId="13281"/>
    <cellStyle name="Dane wyjściowe 2 12 35 3" xfId="13282"/>
    <cellStyle name="Dane wyjściowe 2 12 36" xfId="13283"/>
    <cellStyle name="Dane wyjściowe 2 12 36 2" xfId="13284"/>
    <cellStyle name="Dane wyjściowe 2 12 36 3" xfId="13285"/>
    <cellStyle name="Dane wyjściowe 2 12 37" xfId="13286"/>
    <cellStyle name="Dane wyjściowe 2 12 37 2" xfId="13287"/>
    <cellStyle name="Dane wyjściowe 2 12 37 3" xfId="13288"/>
    <cellStyle name="Dane wyjściowe 2 12 38" xfId="13289"/>
    <cellStyle name="Dane wyjściowe 2 12 38 2" xfId="13290"/>
    <cellStyle name="Dane wyjściowe 2 12 38 3" xfId="13291"/>
    <cellStyle name="Dane wyjściowe 2 12 39" xfId="13292"/>
    <cellStyle name="Dane wyjściowe 2 12 39 2" xfId="13293"/>
    <cellStyle name="Dane wyjściowe 2 12 39 3" xfId="13294"/>
    <cellStyle name="Dane wyjściowe 2 12 4" xfId="13295"/>
    <cellStyle name="Dane wyjściowe 2 12 4 2" xfId="13296"/>
    <cellStyle name="Dane wyjściowe 2 12 4 3" xfId="13297"/>
    <cellStyle name="Dane wyjściowe 2 12 4 4" xfId="13298"/>
    <cellStyle name="Dane wyjściowe 2 12 40" xfId="13299"/>
    <cellStyle name="Dane wyjściowe 2 12 40 2" xfId="13300"/>
    <cellStyle name="Dane wyjściowe 2 12 40 3" xfId="13301"/>
    <cellStyle name="Dane wyjściowe 2 12 41" xfId="13302"/>
    <cellStyle name="Dane wyjściowe 2 12 41 2" xfId="13303"/>
    <cellStyle name="Dane wyjściowe 2 12 41 3" xfId="13304"/>
    <cellStyle name="Dane wyjściowe 2 12 42" xfId="13305"/>
    <cellStyle name="Dane wyjściowe 2 12 42 2" xfId="13306"/>
    <cellStyle name="Dane wyjściowe 2 12 42 3" xfId="13307"/>
    <cellStyle name="Dane wyjściowe 2 12 43" xfId="13308"/>
    <cellStyle name="Dane wyjściowe 2 12 43 2" xfId="13309"/>
    <cellStyle name="Dane wyjściowe 2 12 43 3" xfId="13310"/>
    <cellStyle name="Dane wyjściowe 2 12 44" xfId="13311"/>
    <cellStyle name="Dane wyjściowe 2 12 44 2" xfId="13312"/>
    <cellStyle name="Dane wyjściowe 2 12 44 3" xfId="13313"/>
    <cellStyle name="Dane wyjściowe 2 12 45" xfId="13314"/>
    <cellStyle name="Dane wyjściowe 2 12 45 2" xfId="13315"/>
    <cellStyle name="Dane wyjściowe 2 12 45 3" xfId="13316"/>
    <cellStyle name="Dane wyjściowe 2 12 46" xfId="13317"/>
    <cellStyle name="Dane wyjściowe 2 12 46 2" xfId="13318"/>
    <cellStyle name="Dane wyjściowe 2 12 46 3" xfId="13319"/>
    <cellStyle name="Dane wyjściowe 2 12 47" xfId="13320"/>
    <cellStyle name="Dane wyjściowe 2 12 47 2" xfId="13321"/>
    <cellStyle name="Dane wyjściowe 2 12 47 3" xfId="13322"/>
    <cellStyle name="Dane wyjściowe 2 12 48" xfId="13323"/>
    <cellStyle name="Dane wyjściowe 2 12 48 2" xfId="13324"/>
    <cellStyle name="Dane wyjściowe 2 12 48 3" xfId="13325"/>
    <cellStyle name="Dane wyjściowe 2 12 49" xfId="13326"/>
    <cellStyle name="Dane wyjściowe 2 12 49 2" xfId="13327"/>
    <cellStyle name="Dane wyjściowe 2 12 49 3" xfId="13328"/>
    <cellStyle name="Dane wyjściowe 2 12 5" xfId="13329"/>
    <cellStyle name="Dane wyjściowe 2 12 5 2" xfId="13330"/>
    <cellStyle name="Dane wyjściowe 2 12 5 3" xfId="13331"/>
    <cellStyle name="Dane wyjściowe 2 12 5 4" xfId="13332"/>
    <cellStyle name="Dane wyjściowe 2 12 50" xfId="13333"/>
    <cellStyle name="Dane wyjściowe 2 12 50 2" xfId="13334"/>
    <cellStyle name="Dane wyjściowe 2 12 50 3" xfId="13335"/>
    <cellStyle name="Dane wyjściowe 2 12 51" xfId="13336"/>
    <cellStyle name="Dane wyjściowe 2 12 51 2" xfId="13337"/>
    <cellStyle name="Dane wyjściowe 2 12 51 3" xfId="13338"/>
    <cellStyle name="Dane wyjściowe 2 12 52" xfId="13339"/>
    <cellStyle name="Dane wyjściowe 2 12 52 2" xfId="13340"/>
    <cellStyle name="Dane wyjściowe 2 12 52 3" xfId="13341"/>
    <cellStyle name="Dane wyjściowe 2 12 53" xfId="13342"/>
    <cellStyle name="Dane wyjściowe 2 12 53 2" xfId="13343"/>
    <cellStyle name="Dane wyjściowe 2 12 53 3" xfId="13344"/>
    <cellStyle name="Dane wyjściowe 2 12 54" xfId="13345"/>
    <cellStyle name="Dane wyjściowe 2 12 54 2" xfId="13346"/>
    <cellStyle name="Dane wyjściowe 2 12 54 3" xfId="13347"/>
    <cellStyle name="Dane wyjściowe 2 12 55" xfId="13348"/>
    <cellStyle name="Dane wyjściowe 2 12 55 2" xfId="13349"/>
    <cellStyle name="Dane wyjściowe 2 12 55 3" xfId="13350"/>
    <cellStyle name="Dane wyjściowe 2 12 56" xfId="13351"/>
    <cellStyle name="Dane wyjściowe 2 12 56 2" xfId="13352"/>
    <cellStyle name="Dane wyjściowe 2 12 56 3" xfId="13353"/>
    <cellStyle name="Dane wyjściowe 2 12 57" xfId="13354"/>
    <cellStyle name="Dane wyjściowe 2 12 58" xfId="13355"/>
    <cellStyle name="Dane wyjściowe 2 12 6" xfId="13356"/>
    <cellStyle name="Dane wyjściowe 2 12 6 2" xfId="13357"/>
    <cellStyle name="Dane wyjściowe 2 12 6 3" xfId="13358"/>
    <cellStyle name="Dane wyjściowe 2 12 6 4" xfId="13359"/>
    <cellStyle name="Dane wyjściowe 2 12 7" xfId="13360"/>
    <cellStyle name="Dane wyjściowe 2 12 7 2" xfId="13361"/>
    <cellStyle name="Dane wyjściowe 2 12 7 3" xfId="13362"/>
    <cellStyle name="Dane wyjściowe 2 12 7 4" xfId="13363"/>
    <cellStyle name="Dane wyjściowe 2 12 8" xfId="13364"/>
    <cellStyle name="Dane wyjściowe 2 12 8 2" xfId="13365"/>
    <cellStyle name="Dane wyjściowe 2 12 8 3" xfId="13366"/>
    <cellStyle name="Dane wyjściowe 2 12 8 4" xfId="13367"/>
    <cellStyle name="Dane wyjściowe 2 12 9" xfId="13368"/>
    <cellStyle name="Dane wyjściowe 2 12 9 2" xfId="13369"/>
    <cellStyle name="Dane wyjściowe 2 12 9 3" xfId="13370"/>
    <cellStyle name="Dane wyjściowe 2 12 9 4" xfId="13371"/>
    <cellStyle name="Dane wyjściowe 2 13" xfId="13372"/>
    <cellStyle name="Dane wyjściowe 2 13 10" xfId="13373"/>
    <cellStyle name="Dane wyjściowe 2 13 10 2" xfId="13374"/>
    <cellStyle name="Dane wyjściowe 2 13 10 3" xfId="13375"/>
    <cellStyle name="Dane wyjściowe 2 13 10 4" xfId="13376"/>
    <cellStyle name="Dane wyjściowe 2 13 11" xfId="13377"/>
    <cellStyle name="Dane wyjściowe 2 13 11 2" xfId="13378"/>
    <cellStyle name="Dane wyjściowe 2 13 11 3" xfId="13379"/>
    <cellStyle name="Dane wyjściowe 2 13 11 4" xfId="13380"/>
    <cellStyle name="Dane wyjściowe 2 13 12" xfId="13381"/>
    <cellStyle name="Dane wyjściowe 2 13 12 2" xfId="13382"/>
    <cellStyle name="Dane wyjściowe 2 13 12 3" xfId="13383"/>
    <cellStyle name="Dane wyjściowe 2 13 12 4" xfId="13384"/>
    <cellStyle name="Dane wyjściowe 2 13 13" xfId="13385"/>
    <cellStyle name="Dane wyjściowe 2 13 13 2" xfId="13386"/>
    <cellStyle name="Dane wyjściowe 2 13 13 3" xfId="13387"/>
    <cellStyle name="Dane wyjściowe 2 13 13 4" xfId="13388"/>
    <cellStyle name="Dane wyjściowe 2 13 14" xfId="13389"/>
    <cellStyle name="Dane wyjściowe 2 13 14 2" xfId="13390"/>
    <cellStyle name="Dane wyjściowe 2 13 14 3" xfId="13391"/>
    <cellStyle name="Dane wyjściowe 2 13 14 4" xfId="13392"/>
    <cellStyle name="Dane wyjściowe 2 13 15" xfId="13393"/>
    <cellStyle name="Dane wyjściowe 2 13 15 2" xfId="13394"/>
    <cellStyle name="Dane wyjściowe 2 13 15 3" xfId="13395"/>
    <cellStyle name="Dane wyjściowe 2 13 15 4" xfId="13396"/>
    <cellStyle name="Dane wyjściowe 2 13 16" xfId="13397"/>
    <cellStyle name="Dane wyjściowe 2 13 16 2" xfId="13398"/>
    <cellStyle name="Dane wyjściowe 2 13 16 3" xfId="13399"/>
    <cellStyle name="Dane wyjściowe 2 13 16 4" xfId="13400"/>
    <cellStyle name="Dane wyjściowe 2 13 17" xfId="13401"/>
    <cellStyle name="Dane wyjściowe 2 13 17 2" xfId="13402"/>
    <cellStyle name="Dane wyjściowe 2 13 17 3" xfId="13403"/>
    <cellStyle name="Dane wyjściowe 2 13 17 4" xfId="13404"/>
    <cellStyle name="Dane wyjściowe 2 13 18" xfId="13405"/>
    <cellStyle name="Dane wyjściowe 2 13 18 2" xfId="13406"/>
    <cellStyle name="Dane wyjściowe 2 13 18 3" xfId="13407"/>
    <cellStyle name="Dane wyjściowe 2 13 18 4" xfId="13408"/>
    <cellStyle name="Dane wyjściowe 2 13 19" xfId="13409"/>
    <cellStyle name="Dane wyjściowe 2 13 19 2" xfId="13410"/>
    <cellStyle name="Dane wyjściowe 2 13 19 3" xfId="13411"/>
    <cellStyle name="Dane wyjściowe 2 13 19 4" xfId="13412"/>
    <cellStyle name="Dane wyjściowe 2 13 2" xfId="13413"/>
    <cellStyle name="Dane wyjściowe 2 13 2 2" xfId="13414"/>
    <cellStyle name="Dane wyjściowe 2 13 2 3" xfId="13415"/>
    <cellStyle name="Dane wyjściowe 2 13 2 4" xfId="13416"/>
    <cellStyle name="Dane wyjściowe 2 13 20" xfId="13417"/>
    <cellStyle name="Dane wyjściowe 2 13 20 2" xfId="13418"/>
    <cellStyle name="Dane wyjściowe 2 13 20 3" xfId="13419"/>
    <cellStyle name="Dane wyjściowe 2 13 20 4" xfId="13420"/>
    <cellStyle name="Dane wyjściowe 2 13 21" xfId="13421"/>
    <cellStyle name="Dane wyjściowe 2 13 21 2" xfId="13422"/>
    <cellStyle name="Dane wyjściowe 2 13 21 3" xfId="13423"/>
    <cellStyle name="Dane wyjściowe 2 13 22" xfId="13424"/>
    <cellStyle name="Dane wyjściowe 2 13 22 2" xfId="13425"/>
    <cellStyle name="Dane wyjściowe 2 13 22 3" xfId="13426"/>
    <cellStyle name="Dane wyjściowe 2 13 23" xfId="13427"/>
    <cellStyle name="Dane wyjściowe 2 13 23 2" xfId="13428"/>
    <cellStyle name="Dane wyjściowe 2 13 23 3" xfId="13429"/>
    <cellStyle name="Dane wyjściowe 2 13 24" xfId="13430"/>
    <cellStyle name="Dane wyjściowe 2 13 24 2" xfId="13431"/>
    <cellStyle name="Dane wyjściowe 2 13 24 3" xfId="13432"/>
    <cellStyle name="Dane wyjściowe 2 13 25" xfId="13433"/>
    <cellStyle name="Dane wyjściowe 2 13 25 2" xfId="13434"/>
    <cellStyle name="Dane wyjściowe 2 13 25 3" xfId="13435"/>
    <cellStyle name="Dane wyjściowe 2 13 26" xfId="13436"/>
    <cellStyle name="Dane wyjściowe 2 13 26 2" xfId="13437"/>
    <cellStyle name="Dane wyjściowe 2 13 26 3" xfId="13438"/>
    <cellStyle name="Dane wyjściowe 2 13 27" xfId="13439"/>
    <cellStyle name="Dane wyjściowe 2 13 27 2" xfId="13440"/>
    <cellStyle name="Dane wyjściowe 2 13 27 3" xfId="13441"/>
    <cellStyle name="Dane wyjściowe 2 13 28" xfId="13442"/>
    <cellStyle name="Dane wyjściowe 2 13 28 2" xfId="13443"/>
    <cellStyle name="Dane wyjściowe 2 13 28 3" xfId="13444"/>
    <cellStyle name="Dane wyjściowe 2 13 29" xfId="13445"/>
    <cellStyle name="Dane wyjściowe 2 13 29 2" xfId="13446"/>
    <cellStyle name="Dane wyjściowe 2 13 29 3" xfId="13447"/>
    <cellStyle name="Dane wyjściowe 2 13 3" xfId="13448"/>
    <cellStyle name="Dane wyjściowe 2 13 3 2" xfId="13449"/>
    <cellStyle name="Dane wyjściowe 2 13 3 3" xfId="13450"/>
    <cellStyle name="Dane wyjściowe 2 13 3 4" xfId="13451"/>
    <cellStyle name="Dane wyjściowe 2 13 30" xfId="13452"/>
    <cellStyle name="Dane wyjściowe 2 13 30 2" xfId="13453"/>
    <cellStyle name="Dane wyjściowe 2 13 30 3" xfId="13454"/>
    <cellStyle name="Dane wyjściowe 2 13 31" xfId="13455"/>
    <cellStyle name="Dane wyjściowe 2 13 31 2" xfId="13456"/>
    <cellStyle name="Dane wyjściowe 2 13 31 3" xfId="13457"/>
    <cellStyle name="Dane wyjściowe 2 13 32" xfId="13458"/>
    <cellStyle name="Dane wyjściowe 2 13 32 2" xfId="13459"/>
    <cellStyle name="Dane wyjściowe 2 13 32 3" xfId="13460"/>
    <cellStyle name="Dane wyjściowe 2 13 33" xfId="13461"/>
    <cellStyle name="Dane wyjściowe 2 13 33 2" xfId="13462"/>
    <cellStyle name="Dane wyjściowe 2 13 33 3" xfId="13463"/>
    <cellStyle name="Dane wyjściowe 2 13 34" xfId="13464"/>
    <cellStyle name="Dane wyjściowe 2 13 34 2" xfId="13465"/>
    <cellStyle name="Dane wyjściowe 2 13 34 3" xfId="13466"/>
    <cellStyle name="Dane wyjściowe 2 13 35" xfId="13467"/>
    <cellStyle name="Dane wyjściowe 2 13 35 2" xfId="13468"/>
    <cellStyle name="Dane wyjściowe 2 13 35 3" xfId="13469"/>
    <cellStyle name="Dane wyjściowe 2 13 36" xfId="13470"/>
    <cellStyle name="Dane wyjściowe 2 13 36 2" xfId="13471"/>
    <cellStyle name="Dane wyjściowe 2 13 36 3" xfId="13472"/>
    <cellStyle name="Dane wyjściowe 2 13 37" xfId="13473"/>
    <cellStyle name="Dane wyjściowe 2 13 37 2" xfId="13474"/>
    <cellStyle name="Dane wyjściowe 2 13 37 3" xfId="13475"/>
    <cellStyle name="Dane wyjściowe 2 13 38" xfId="13476"/>
    <cellStyle name="Dane wyjściowe 2 13 38 2" xfId="13477"/>
    <cellStyle name="Dane wyjściowe 2 13 38 3" xfId="13478"/>
    <cellStyle name="Dane wyjściowe 2 13 39" xfId="13479"/>
    <cellStyle name="Dane wyjściowe 2 13 39 2" xfId="13480"/>
    <cellStyle name="Dane wyjściowe 2 13 39 3" xfId="13481"/>
    <cellStyle name="Dane wyjściowe 2 13 4" xfId="13482"/>
    <cellStyle name="Dane wyjściowe 2 13 4 2" xfId="13483"/>
    <cellStyle name="Dane wyjściowe 2 13 4 3" xfId="13484"/>
    <cellStyle name="Dane wyjściowe 2 13 4 4" xfId="13485"/>
    <cellStyle name="Dane wyjściowe 2 13 40" xfId="13486"/>
    <cellStyle name="Dane wyjściowe 2 13 40 2" xfId="13487"/>
    <cellStyle name="Dane wyjściowe 2 13 40 3" xfId="13488"/>
    <cellStyle name="Dane wyjściowe 2 13 41" xfId="13489"/>
    <cellStyle name="Dane wyjściowe 2 13 41 2" xfId="13490"/>
    <cellStyle name="Dane wyjściowe 2 13 41 3" xfId="13491"/>
    <cellStyle name="Dane wyjściowe 2 13 42" xfId="13492"/>
    <cellStyle name="Dane wyjściowe 2 13 42 2" xfId="13493"/>
    <cellStyle name="Dane wyjściowe 2 13 42 3" xfId="13494"/>
    <cellStyle name="Dane wyjściowe 2 13 43" xfId="13495"/>
    <cellStyle name="Dane wyjściowe 2 13 43 2" xfId="13496"/>
    <cellStyle name="Dane wyjściowe 2 13 43 3" xfId="13497"/>
    <cellStyle name="Dane wyjściowe 2 13 44" xfId="13498"/>
    <cellStyle name="Dane wyjściowe 2 13 44 2" xfId="13499"/>
    <cellStyle name="Dane wyjściowe 2 13 44 3" xfId="13500"/>
    <cellStyle name="Dane wyjściowe 2 13 45" xfId="13501"/>
    <cellStyle name="Dane wyjściowe 2 13 45 2" xfId="13502"/>
    <cellStyle name="Dane wyjściowe 2 13 45 3" xfId="13503"/>
    <cellStyle name="Dane wyjściowe 2 13 46" xfId="13504"/>
    <cellStyle name="Dane wyjściowe 2 13 46 2" xfId="13505"/>
    <cellStyle name="Dane wyjściowe 2 13 46 3" xfId="13506"/>
    <cellStyle name="Dane wyjściowe 2 13 47" xfId="13507"/>
    <cellStyle name="Dane wyjściowe 2 13 47 2" xfId="13508"/>
    <cellStyle name="Dane wyjściowe 2 13 47 3" xfId="13509"/>
    <cellStyle name="Dane wyjściowe 2 13 48" xfId="13510"/>
    <cellStyle name="Dane wyjściowe 2 13 48 2" xfId="13511"/>
    <cellStyle name="Dane wyjściowe 2 13 48 3" xfId="13512"/>
    <cellStyle name="Dane wyjściowe 2 13 49" xfId="13513"/>
    <cellStyle name="Dane wyjściowe 2 13 49 2" xfId="13514"/>
    <cellStyle name="Dane wyjściowe 2 13 49 3" xfId="13515"/>
    <cellStyle name="Dane wyjściowe 2 13 5" xfId="13516"/>
    <cellStyle name="Dane wyjściowe 2 13 5 2" xfId="13517"/>
    <cellStyle name="Dane wyjściowe 2 13 5 3" xfId="13518"/>
    <cellStyle name="Dane wyjściowe 2 13 5 4" xfId="13519"/>
    <cellStyle name="Dane wyjściowe 2 13 50" xfId="13520"/>
    <cellStyle name="Dane wyjściowe 2 13 50 2" xfId="13521"/>
    <cellStyle name="Dane wyjściowe 2 13 50 3" xfId="13522"/>
    <cellStyle name="Dane wyjściowe 2 13 51" xfId="13523"/>
    <cellStyle name="Dane wyjściowe 2 13 51 2" xfId="13524"/>
    <cellStyle name="Dane wyjściowe 2 13 51 3" xfId="13525"/>
    <cellStyle name="Dane wyjściowe 2 13 52" xfId="13526"/>
    <cellStyle name="Dane wyjściowe 2 13 52 2" xfId="13527"/>
    <cellStyle name="Dane wyjściowe 2 13 52 3" xfId="13528"/>
    <cellStyle name="Dane wyjściowe 2 13 53" xfId="13529"/>
    <cellStyle name="Dane wyjściowe 2 13 53 2" xfId="13530"/>
    <cellStyle name="Dane wyjściowe 2 13 53 3" xfId="13531"/>
    <cellStyle name="Dane wyjściowe 2 13 54" xfId="13532"/>
    <cellStyle name="Dane wyjściowe 2 13 54 2" xfId="13533"/>
    <cellStyle name="Dane wyjściowe 2 13 54 3" xfId="13534"/>
    <cellStyle name="Dane wyjściowe 2 13 55" xfId="13535"/>
    <cellStyle name="Dane wyjściowe 2 13 55 2" xfId="13536"/>
    <cellStyle name="Dane wyjściowe 2 13 55 3" xfId="13537"/>
    <cellStyle name="Dane wyjściowe 2 13 56" xfId="13538"/>
    <cellStyle name="Dane wyjściowe 2 13 56 2" xfId="13539"/>
    <cellStyle name="Dane wyjściowe 2 13 56 3" xfId="13540"/>
    <cellStyle name="Dane wyjściowe 2 13 57" xfId="13541"/>
    <cellStyle name="Dane wyjściowe 2 13 58" xfId="13542"/>
    <cellStyle name="Dane wyjściowe 2 13 6" xfId="13543"/>
    <cellStyle name="Dane wyjściowe 2 13 6 2" xfId="13544"/>
    <cellStyle name="Dane wyjściowe 2 13 6 3" xfId="13545"/>
    <cellStyle name="Dane wyjściowe 2 13 6 4" xfId="13546"/>
    <cellStyle name="Dane wyjściowe 2 13 7" xfId="13547"/>
    <cellStyle name="Dane wyjściowe 2 13 7 2" xfId="13548"/>
    <cellStyle name="Dane wyjściowe 2 13 7 3" xfId="13549"/>
    <cellStyle name="Dane wyjściowe 2 13 7 4" xfId="13550"/>
    <cellStyle name="Dane wyjściowe 2 13 8" xfId="13551"/>
    <cellStyle name="Dane wyjściowe 2 13 8 2" xfId="13552"/>
    <cellStyle name="Dane wyjściowe 2 13 8 3" xfId="13553"/>
    <cellStyle name="Dane wyjściowe 2 13 8 4" xfId="13554"/>
    <cellStyle name="Dane wyjściowe 2 13 9" xfId="13555"/>
    <cellStyle name="Dane wyjściowe 2 13 9 2" xfId="13556"/>
    <cellStyle name="Dane wyjściowe 2 13 9 3" xfId="13557"/>
    <cellStyle name="Dane wyjściowe 2 13 9 4" xfId="13558"/>
    <cellStyle name="Dane wyjściowe 2 14" xfId="13559"/>
    <cellStyle name="Dane wyjściowe 2 14 10" xfId="13560"/>
    <cellStyle name="Dane wyjściowe 2 14 10 2" xfId="13561"/>
    <cellStyle name="Dane wyjściowe 2 14 10 3" xfId="13562"/>
    <cellStyle name="Dane wyjściowe 2 14 10 4" xfId="13563"/>
    <cellStyle name="Dane wyjściowe 2 14 11" xfId="13564"/>
    <cellStyle name="Dane wyjściowe 2 14 11 2" xfId="13565"/>
    <cellStyle name="Dane wyjściowe 2 14 11 3" xfId="13566"/>
    <cellStyle name="Dane wyjściowe 2 14 11 4" xfId="13567"/>
    <cellStyle name="Dane wyjściowe 2 14 12" xfId="13568"/>
    <cellStyle name="Dane wyjściowe 2 14 12 2" xfId="13569"/>
    <cellStyle name="Dane wyjściowe 2 14 12 3" xfId="13570"/>
    <cellStyle name="Dane wyjściowe 2 14 12 4" xfId="13571"/>
    <cellStyle name="Dane wyjściowe 2 14 13" xfId="13572"/>
    <cellStyle name="Dane wyjściowe 2 14 13 2" xfId="13573"/>
    <cellStyle name="Dane wyjściowe 2 14 13 3" xfId="13574"/>
    <cellStyle name="Dane wyjściowe 2 14 13 4" xfId="13575"/>
    <cellStyle name="Dane wyjściowe 2 14 14" xfId="13576"/>
    <cellStyle name="Dane wyjściowe 2 14 14 2" xfId="13577"/>
    <cellStyle name="Dane wyjściowe 2 14 14 3" xfId="13578"/>
    <cellStyle name="Dane wyjściowe 2 14 14 4" xfId="13579"/>
    <cellStyle name="Dane wyjściowe 2 14 15" xfId="13580"/>
    <cellStyle name="Dane wyjściowe 2 14 15 2" xfId="13581"/>
    <cellStyle name="Dane wyjściowe 2 14 15 3" xfId="13582"/>
    <cellStyle name="Dane wyjściowe 2 14 15 4" xfId="13583"/>
    <cellStyle name="Dane wyjściowe 2 14 16" xfId="13584"/>
    <cellStyle name="Dane wyjściowe 2 14 16 2" xfId="13585"/>
    <cellStyle name="Dane wyjściowe 2 14 16 3" xfId="13586"/>
    <cellStyle name="Dane wyjściowe 2 14 16 4" xfId="13587"/>
    <cellStyle name="Dane wyjściowe 2 14 17" xfId="13588"/>
    <cellStyle name="Dane wyjściowe 2 14 17 2" xfId="13589"/>
    <cellStyle name="Dane wyjściowe 2 14 17 3" xfId="13590"/>
    <cellStyle name="Dane wyjściowe 2 14 17 4" xfId="13591"/>
    <cellStyle name="Dane wyjściowe 2 14 18" xfId="13592"/>
    <cellStyle name="Dane wyjściowe 2 14 18 2" xfId="13593"/>
    <cellStyle name="Dane wyjściowe 2 14 18 3" xfId="13594"/>
    <cellStyle name="Dane wyjściowe 2 14 18 4" xfId="13595"/>
    <cellStyle name="Dane wyjściowe 2 14 19" xfId="13596"/>
    <cellStyle name="Dane wyjściowe 2 14 19 2" xfId="13597"/>
    <cellStyle name="Dane wyjściowe 2 14 19 3" xfId="13598"/>
    <cellStyle name="Dane wyjściowe 2 14 19 4" xfId="13599"/>
    <cellStyle name="Dane wyjściowe 2 14 2" xfId="13600"/>
    <cellStyle name="Dane wyjściowe 2 14 2 2" xfId="13601"/>
    <cellStyle name="Dane wyjściowe 2 14 2 3" xfId="13602"/>
    <cellStyle name="Dane wyjściowe 2 14 2 4" xfId="13603"/>
    <cellStyle name="Dane wyjściowe 2 14 20" xfId="13604"/>
    <cellStyle name="Dane wyjściowe 2 14 20 2" xfId="13605"/>
    <cellStyle name="Dane wyjściowe 2 14 20 3" xfId="13606"/>
    <cellStyle name="Dane wyjściowe 2 14 20 4" xfId="13607"/>
    <cellStyle name="Dane wyjściowe 2 14 21" xfId="13608"/>
    <cellStyle name="Dane wyjściowe 2 14 21 2" xfId="13609"/>
    <cellStyle name="Dane wyjściowe 2 14 21 3" xfId="13610"/>
    <cellStyle name="Dane wyjściowe 2 14 22" xfId="13611"/>
    <cellStyle name="Dane wyjściowe 2 14 22 2" xfId="13612"/>
    <cellStyle name="Dane wyjściowe 2 14 22 3" xfId="13613"/>
    <cellStyle name="Dane wyjściowe 2 14 23" xfId="13614"/>
    <cellStyle name="Dane wyjściowe 2 14 23 2" xfId="13615"/>
    <cellStyle name="Dane wyjściowe 2 14 23 3" xfId="13616"/>
    <cellStyle name="Dane wyjściowe 2 14 24" xfId="13617"/>
    <cellStyle name="Dane wyjściowe 2 14 24 2" xfId="13618"/>
    <cellStyle name="Dane wyjściowe 2 14 24 3" xfId="13619"/>
    <cellStyle name="Dane wyjściowe 2 14 25" xfId="13620"/>
    <cellStyle name="Dane wyjściowe 2 14 25 2" xfId="13621"/>
    <cellStyle name="Dane wyjściowe 2 14 25 3" xfId="13622"/>
    <cellStyle name="Dane wyjściowe 2 14 26" xfId="13623"/>
    <cellStyle name="Dane wyjściowe 2 14 26 2" xfId="13624"/>
    <cellStyle name="Dane wyjściowe 2 14 26 3" xfId="13625"/>
    <cellStyle name="Dane wyjściowe 2 14 27" xfId="13626"/>
    <cellStyle name="Dane wyjściowe 2 14 27 2" xfId="13627"/>
    <cellStyle name="Dane wyjściowe 2 14 27 3" xfId="13628"/>
    <cellStyle name="Dane wyjściowe 2 14 28" xfId="13629"/>
    <cellStyle name="Dane wyjściowe 2 14 28 2" xfId="13630"/>
    <cellStyle name="Dane wyjściowe 2 14 28 3" xfId="13631"/>
    <cellStyle name="Dane wyjściowe 2 14 29" xfId="13632"/>
    <cellStyle name="Dane wyjściowe 2 14 29 2" xfId="13633"/>
    <cellStyle name="Dane wyjściowe 2 14 29 3" xfId="13634"/>
    <cellStyle name="Dane wyjściowe 2 14 3" xfId="13635"/>
    <cellStyle name="Dane wyjściowe 2 14 3 2" xfId="13636"/>
    <cellStyle name="Dane wyjściowe 2 14 3 3" xfId="13637"/>
    <cellStyle name="Dane wyjściowe 2 14 3 4" xfId="13638"/>
    <cellStyle name="Dane wyjściowe 2 14 30" xfId="13639"/>
    <cellStyle name="Dane wyjściowe 2 14 30 2" xfId="13640"/>
    <cellStyle name="Dane wyjściowe 2 14 30 3" xfId="13641"/>
    <cellStyle name="Dane wyjściowe 2 14 31" xfId="13642"/>
    <cellStyle name="Dane wyjściowe 2 14 31 2" xfId="13643"/>
    <cellStyle name="Dane wyjściowe 2 14 31 3" xfId="13644"/>
    <cellStyle name="Dane wyjściowe 2 14 32" xfId="13645"/>
    <cellStyle name="Dane wyjściowe 2 14 32 2" xfId="13646"/>
    <cellStyle name="Dane wyjściowe 2 14 32 3" xfId="13647"/>
    <cellStyle name="Dane wyjściowe 2 14 33" xfId="13648"/>
    <cellStyle name="Dane wyjściowe 2 14 33 2" xfId="13649"/>
    <cellStyle name="Dane wyjściowe 2 14 33 3" xfId="13650"/>
    <cellStyle name="Dane wyjściowe 2 14 34" xfId="13651"/>
    <cellStyle name="Dane wyjściowe 2 14 34 2" xfId="13652"/>
    <cellStyle name="Dane wyjściowe 2 14 34 3" xfId="13653"/>
    <cellStyle name="Dane wyjściowe 2 14 35" xfId="13654"/>
    <cellStyle name="Dane wyjściowe 2 14 35 2" xfId="13655"/>
    <cellStyle name="Dane wyjściowe 2 14 35 3" xfId="13656"/>
    <cellStyle name="Dane wyjściowe 2 14 36" xfId="13657"/>
    <cellStyle name="Dane wyjściowe 2 14 36 2" xfId="13658"/>
    <cellStyle name="Dane wyjściowe 2 14 36 3" xfId="13659"/>
    <cellStyle name="Dane wyjściowe 2 14 37" xfId="13660"/>
    <cellStyle name="Dane wyjściowe 2 14 37 2" xfId="13661"/>
    <cellStyle name="Dane wyjściowe 2 14 37 3" xfId="13662"/>
    <cellStyle name="Dane wyjściowe 2 14 38" xfId="13663"/>
    <cellStyle name="Dane wyjściowe 2 14 38 2" xfId="13664"/>
    <cellStyle name="Dane wyjściowe 2 14 38 3" xfId="13665"/>
    <cellStyle name="Dane wyjściowe 2 14 39" xfId="13666"/>
    <cellStyle name="Dane wyjściowe 2 14 39 2" xfId="13667"/>
    <cellStyle name="Dane wyjściowe 2 14 39 3" xfId="13668"/>
    <cellStyle name="Dane wyjściowe 2 14 4" xfId="13669"/>
    <cellStyle name="Dane wyjściowe 2 14 4 2" xfId="13670"/>
    <cellStyle name="Dane wyjściowe 2 14 4 3" xfId="13671"/>
    <cellStyle name="Dane wyjściowe 2 14 4 4" xfId="13672"/>
    <cellStyle name="Dane wyjściowe 2 14 40" xfId="13673"/>
    <cellStyle name="Dane wyjściowe 2 14 40 2" xfId="13674"/>
    <cellStyle name="Dane wyjściowe 2 14 40 3" xfId="13675"/>
    <cellStyle name="Dane wyjściowe 2 14 41" xfId="13676"/>
    <cellStyle name="Dane wyjściowe 2 14 41 2" xfId="13677"/>
    <cellStyle name="Dane wyjściowe 2 14 41 3" xfId="13678"/>
    <cellStyle name="Dane wyjściowe 2 14 42" xfId="13679"/>
    <cellStyle name="Dane wyjściowe 2 14 42 2" xfId="13680"/>
    <cellStyle name="Dane wyjściowe 2 14 42 3" xfId="13681"/>
    <cellStyle name="Dane wyjściowe 2 14 43" xfId="13682"/>
    <cellStyle name="Dane wyjściowe 2 14 43 2" xfId="13683"/>
    <cellStyle name="Dane wyjściowe 2 14 43 3" xfId="13684"/>
    <cellStyle name="Dane wyjściowe 2 14 44" xfId="13685"/>
    <cellStyle name="Dane wyjściowe 2 14 44 2" xfId="13686"/>
    <cellStyle name="Dane wyjściowe 2 14 44 3" xfId="13687"/>
    <cellStyle name="Dane wyjściowe 2 14 45" xfId="13688"/>
    <cellStyle name="Dane wyjściowe 2 14 45 2" xfId="13689"/>
    <cellStyle name="Dane wyjściowe 2 14 45 3" xfId="13690"/>
    <cellStyle name="Dane wyjściowe 2 14 46" xfId="13691"/>
    <cellStyle name="Dane wyjściowe 2 14 46 2" xfId="13692"/>
    <cellStyle name="Dane wyjściowe 2 14 46 3" xfId="13693"/>
    <cellStyle name="Dane wyjściowe 2 14 47" xfId="13694"/>
    <cellStyle name="Dane wyjściowe 2 14 47 2" xfId="13695"/>
    <cellStyle name="Dane wyjściowe 2 14 47 3" xfId="13696"/>
    <cellStyle name="Dane wyjściowe 2 14 48" xfId="13697"/>
    <cellStyle name="Dane wyjściowe 2 14 48 2" xfId="13698"/>
    <cellStyle name="Dane wyjściowe 2 14 48 3" xfId="13699"/>
    <cellStyle name="Dane wyjściowe 2 14 49" xfId="13700"/>
    <cellStyle name="Dane wyjściowe 2 14 49 2" xfId="13701"/>
    <cellStyle name="Dane wyjściowe 2 14 49 3" xfId="13702"/>
    <cellStyle name="Dane wyjściowe 2 14 5" xfId="13703"/>
    <cellStyle name="Dane wyjściowe 2 14 5 2" xfId="13704"/>
    <cellStyle name="Dane wyjściowe 2 14 5 3" xfId="13705"/>
    <cellStyle name="Dane wyjściowe 2 14 5 4" xfId="13706"/>
    <cellStyle name="Dane wyjściowe 2 14 50" xfId="13707"/>
    <cellStyle name="Dane wyjściowe 2 14 50 2" xfId="13708"/>
    <cellStyle name="Dane wyjściowe 2 14 50 3" xfId="13709"/>
    <cellStyle name="Dane wyjściowe 2 14 51" xfId="13710"/>
    <cellStyle name="Dane wyjściowe 2 14 51 2" xfId="13711"/>
    <cellStyle name="Dane wyjściowe 2 14 51 3" xfId="13712"/>
    <cellStyle name="Dane wyjściowe 2 14 52" xfId="13713"/>
    <cellStyle name="Dane wyjściowe 2 14 52 2" xfId="13714"/>
    <cellStyle name="Dane wyjściowe 2 14 52 3" xfId="13715"/>
    <cellStyle name="Dane wyjściowe 2 14 53" xfId="13716"/>
    <cellStyle name="Dane wyjściowe 2 14 53 2" xfId="13717"/>
    <cellStyle name="Dane wyjściowe 2 14 53 3" xfId="13718"/>
    <cellStyle name="Dane wyjściowe 2 14 54" xfId="13719"/>
    <cellStyle name="Dane wyjściowe 2 14 54 2" xfId="13720"/>
    <cellStyle name="Dane wyjściowe 2 14 54 3" xfId="13721"/>
    <cellStyle name="Dane wyjściowe 2 14 55" xfId="13722"/>
    <cellStyle name="Dane wyjściowe 2 14 55 2" xfId="13723"/>
    <cellStyle name="Dane wyjściowe 2 14 55 3" xfId="13724"/>
    <cellStyle name="Dane wyjściowe 2 14 56" xfId="13725"/>
    <cellStyle name="Dane wyjściowe 2 14 56 2" xfId="13726"/>
    <cellStyle name="Dane wyjściowe 2 14 56 3" xfId="13727"/>
    <cellStyle name="Dane wyjściowe 2 14 57" xfId="13728"/>
    <cellStyle name="Dane wyjściowe 2 14 58" xfId="13729"/>
    <cellStyle name="Dane wyjściowe 2 14 6" xfId="13730"/>
    <cellStyle name="Dane wyjściowe 2 14 6 2" xfId="13731"/>
    <cellStyle name="Dane wyjściowe 2 14 6 3" xfId="13732"/>
    <cellStyle name="Dane wyjściowe 2 14 6 4" xfId="13733"/>
    <cellStyle name="Dane wyjściowe 2 14 7" xfId="13734"/>
    <cellStyle name="Dane wyjściowe 2 14 7 2" xfId="13735"/>
    <cellStyle name="Dane wyjściowe 2 14 7 3" xfId="13736"/>
    <cellStyle name="Dane wyjściowe 2 14 7 4" xfId="13737"/>
    <cellStyle name="Dane wyjściowe 2 14 8" xfId="13738"/>
    <cellStyle name="Dane wyjściowe 2 14 8 2" xfId="13739"/>
    <cellStyle name="Dane wyjściowe 2 14 8 3" xfId="13740"/>
    <cellStyle name="Dane wyjściowe 2 14 8 4" xfId="13741"/>
    <cellStyle name="Dane wyjściowe 2 14 9" xfId="13742"/>
    <cellStyle name="Dane wyjściowe 2 14 9 2" xfId="13743"/>
    <cellStyle name="Dane wyjściowe 2 14 9 3" xfId="13744"/>
    <cellStyle name="Dane wyjściowe 2 14 9 4" xfId="13745"/>
    <cellStyle name="Dane wyjściowe 2 15" xfId="13746"/>
    <cellStyle name="Dane wyjściowe 2 15 10" xfId="13747"/>
    <cellStyle name="Dane wyjściowe 2 15 10 2" xfId="13748"/>
    <cellStyle name="Dane wyjściowe 2 15 10 3" xfId="13749"/>
    <cellStyle name="Dane wyjściowe 2 15 10 4" xfId="13750"/>
    <cellStyle name="Dane wyjściowe 2 15 11" xfId="13751"/>
    <cellStyle name="Dane wyjściowe 2 15 11 2" xfId="13752"/>
    <cellStyle name="Dane wyjściowe 2 15 11 3" xfId="13753"/>
    <cellStyle name="Dane wyjściowe 2 15 11 4" xfId="13754"/>
    <cellStyle name="Dane wyjściowe 2 15 12" xfId="13755"/>
    <cellStyle name="Dane wyjściowe 2 15 12 2" xfId="13756"/>
    <cellStyle name="Dane wyjściowe 2 15 12 3" xfId="13757"/>
    <cellStyle name="Dane wyjściowe 2 15 12 4" xfId="13758"/>
    <cellStyle name="Dane wyjściowe 2 15 13" xfId="13759"/>
    <cellStyle name="Dane wyjściowe 2 15 13 2" xfId="13760"/>
    <cellStyle name="Dane wyjściowe 2 15 13 3" xfId="13761"/>
    <cellStyle name="Dane wyjściowe 2 15 13 4" xfId="13762"/>
    <cellStyle name="Dane wyjściowe 2 15 14" xfId="13763"/>
    <cellStyle name="Dane wyjściowe 2 15 14 2" xfId="13764"/>
    <cellStyle name="Dane wyjściowe 2 15 14 3" xfId="13765"/>
    <cellStyle name="Dane wyjściowe 2 15 14 4" xfId="13766"/>
    <cellStyle name="Dane wyjściowe 2 15 15" xfId="13767"/>
    <cellStyle name="Dane wyjściowe 2 15 15 2" xfId="13768"/>
    <cellStyle name="Dane wyjściowe 2 15 15 3" xfId="13769"/>
    <cellStyle name="Dane wyjściowe 2 15 15 4" xfId="13770"/>
    <cellStyle name="Dane wyjściowe 2 15 16" xfId="13771"/>
    <cellStyle name="Dane wyjściowe 2 15 16 2" xfId="13772"/>
    <cellStyle name="Dane wyjściowe 2 15 16 3" xfId="13773"/>
    <cellStyle name="Dane wyjściowe 2 15 16 4" xfId="13774"/>
    <cellStyle name="Dane wyjściowe 2 15 17" xfId="13775"/>
    <cellStyle name="Dane wyjściowe 2 15 17 2" xfId="13776"/>
    <cellStyle name="Dane wyjściowe 2 15 17 3" xfId="13777"/>
    <cellStyle name="Dane wyjściowe 2 15 17 4" xfId="13778"/>
    <cellStyle name="Dane wyjściowe 2 15 18" xfId="13779"/>
    <cellStyle name="Dane wyjściowe 2 15 18 2" xfId="13780"/>
    <cellStyle name="Dane wyjściowe 2 15 18 3" xfId="13781"/>
    <cellStyle name="Dane wyjściowe 2 15 18 4" xfId="13782"/>
    <cellStyle name="Dane wyjściowe 2 15 19" xfId="13783"/>
    <cellStyle name="Dane wyjściowe 2 15 19 2" xfId="13784"/>
    <cellStyle name="Dane wyjściowe 2 15 19 3" xfId="13785"/>
    <cellStyle name="Dane wyjściowe 2 15 19 4" xfId="13786"/>
    <cellStyle name="Dane wyjściowe 2 15 2" xfId="13787"/>
    <cellStyle name="Dane wyjściowe 2 15 2 2" xfId="13788"/>
    <cellStyle name="Dane wyjściowe 2 15 2 3" xfId="13789"/>
    <cellStyle name="Dane wyjściowe 2 15 2 4" xfId="13790"/>
    <cellStyle name="Dane wyjściowe 2 15 20" xfId="13791"/>
    <cellStyle name="Dane wyjściowe 2 15 20 2" xfId="13792"/>
    <cellStyle name="Dane wyjściowe 2 15 20 3" xfId="13793"/>
    <cellStyle name="Dane wyjściowe 2 15 20 4" xfId="13794"/>
    <cellStyle name="Dane wyjściowe 2 15 21" xfId="13795"/>
    <cellStyle name="Dane wyjściowe 2 15 21 2" xfId="13796"/>
    <cellStyle name="Dane wyjściowe 2 15 21 3" xfId="13797"/>
    <cellStyle name="Dane wyjściowe 2 15 22" xfId="13798"/>
    <cellStyle name="Dane wyjściowe 2 15 22 2" xfId="13799"/>
    <cellStyle name="Dane wyjściowe 2 15 22 3" xfId="13800"/>
    <cellStyle name="Dane wyjściowe 2 15 23" xfId="13801"/>
    <cellStyle name="Dane wyjściowe 2 15 23 2" xfId="13802"/>
    <cellStyle name="Dane wyjściowe 2 15 23 3" xfId="13803"/>
    <cellStyle name="Dane wyjściowe 2 15 24" xfId="13804"/>
    <cellStyle name="Dane wyjściowe 2 15 24 2" xfId="13805"/>
    <cellStyle name="Dane wyjściowe 2 15 24 3" xfId="13806"/>
    <cellStyle name="Dane wyjściowe 2 15 25" xfId="13807"/>
    <cellStyle name="Dane wyjściowe 2 15 25 2" xfId="13808"/>
    <cellStyle name="Dane wyjściowe 2 15 25 3" xfId="13809"/>
    <cellStyle name="Dane wyjściowe 2 15 26" xfId="13810"/>
    <cellStyle name="Dane wyjściowe 2 15 26 2" xfId="13811"/>
    <cellStyle name="Dane wyjściowe 2 15 26 3" xfId="13812"/>
    <cellStyle name="Dane wyjściowe 2 15 27" xfId="13813"/>
    <cellStyle name="Dane wyjściowe 2 15 27 2" xfId="13814"/>
    <cellStyle name="Dane wyjściowe 2 15 27 3" xfId="13815"/>
    <cellStyle name="Dane wyjściowe 2 15 28" xfId="13816"/>
    <cellStyle name="Dane wyjściowe 2 15 28 2" xfId="13817"/>
    <cellStyle name="Dane wyjściowe 2 15 28 3" xfId="13818"/>
    <cellStyle name="Dane wyjściowe 2 15 29" xfId="13819"/>
    <cellStyle name="Dane wyjściowe 2 15 29 2" xfId="13820"/>
    <cellStyle name="Dane wyjściowe 2 15 29 3" xfId="13821"/>
    <cellStyle name="Dane wyjściowe 2 15 3" xfId="13822"/>
    <cellStyle name="Dane wyjściowe 2 15 3 2" xfId="13823"/>
    <cellStyle name="Dane wyjściowe 2 15 3 3" xfId="13824"/>
    <cellStyle name="Dane wyjściowe 2 15 3 4" xfId="13825"/>
    <cellStyle name="Dane wyjściowe 2 15 30" xfId="13826"/>
    <cellStyle name="Dane wyjściowe 2 15 30 2" xfId="13827"/>
    <cellStyle name="Dane wyjściowe 2 15 30 3" xfId="13828"/>
    <cellStyle name="Dane wyjściowe 2 15 31" xfId="13829"/>
    <cellStyle name="Dane wyjściowe 2 15 31 2" xfId="13830"/>
    <cellStyle name="Dane wyjściowe 2 15 31 3" xfId="13831"/>
    <cellStyle name="Dane wyjściowe 2 15 32" xfId="13832"/>
    <cellStyle name="Dane wyjściowe 2 15 32 2" xfId="13833"/>
    <cellStyle name="Dane wyjściowe 2 15 32 3" xfId="13834"/>
    <cellStyle name="Dane wyjściowe 2 15 33" xfId="13835"/>
    <cellStyle name="Dane wyjściowe 2 15 33 2" xfId="13836"/>
    <cellStyle name="Dane wyjściowe 2 15 33 3" xfId="13837"/>
    <cellStyle name="Dane wyjściowe 2 15 34" xfId="13838"/>
    <cellStyle name="Dane wyjściowe 2 15 34 2" xfId="13839"/>
    <cellStyle name="Dane wyjściowe 2 15 34 3" xfId="13840"/>
    <cellStyle name="Dane wyjściowe 2 15 35" xfId="13841"/>
    <cellStyle name="Dane wyjściowe 2 15 35 2" xfId="13842"/>
    <cellStyle name="Dane wyjściowe 2 15 35 3" xfId="13843"/>
    <cellStyle name="Dane wyjściowe 2 15 36" xfId="13844"/>
    <cellStyle name="Dane wyjściowe 2 15 36 2" xfId="13845"/>
    <cellStyle name="Dane wyjściowe 2 15 36 3" xfId="13846"/>
    <cellStyle name="Dane wyjściowe 2 15 37" xfId="13847"/>
    <cellStyle name="Dane wyjściowe 2 15 37 2" xfId="13848"/>
    <cellStyle name="Dane wyjściowe 2 15 37 3" xfId="13849"/>
    <cellStyle name="Dane wyjściowe 2 15 38" xfId="13850"/>
    <cellStyle name="Dane wyjściowe 2 15 38 2" xfId="13851"/>
    <cellStyle name="Dane wyjściowe 2 15 38 3" xfId="13852"/>
    <cellStyle name="Dane wyjściowe 2 15 39" xfId="13853"/>
    <cellStyle name="Dane wyjściowe 2 15 39 2" xfId="13854"/>
    <cellStyle name="Dane wyjściowe 2 15 39 3" xfId="13855"/>
    <cellStyle name="Dane wyjściowe 2 15 4" xfId="13856"/>
    <cellStyle name="Dane wyjściowe 2 15 4 2" xfId="13857"/>
    <cellStyle name="Dane wyjściowe 2 15 4 3" xfId="13858"/>
    <cellStyle name="Dane wyjściowe 2 15 4 4" xfId="13859"/>
    <cellStyle name="Dane wyjściowe 2 15 40" xfId="13860"/>
    <cellStyle name="Dane wyjściowe 2 15 40 2" xfId="13861"/>
    <cellStyle name="Dane wyjściowe 2 15 40 3" xfId="13862"/>
    <cellStyle name="Dane wyjściowe 2 15 41" xfId="13863"/>
    <cellStyle name="Dane wyjściowe 2 15 41 2" xfId="13864"/>
    <cellStyle name="Dane wyjściowe 2 15 41 3" xfId="13865"/>
    <cellStyle name="Dane wyjściowe 2 15 42" xfId="13866"/>
    <cellStyle name="Dane wyjściowe 2 15 42 2" xfId="13867"/>
    <cellStyle name="Dane wyjściowe 2 15 42 3" xfId="13868"/>
    <cellStyle name="Dane wyjściowe 2 15 43" xfId="13869"/>
    <cellStyle name="Dane wyjściowe 2 15 43 2" xfId="13870"/>
    <cellStyle name="Dane wyjściowe 2 15 43 3" xfId="13871"/>
    <cellStyle name="Dane wyjściowe 2 15 44" xfId="13872"/>
    <cellStyle name="Dane wyjściowe 2 15 44 2" xfId="13873"/>
    <cellStyle name="Dane wyjściowe 2 15 44 3" xfId="13874"/>
    <cellStyle name="Dane wyjściowe 2 15 45" xfId="13875"/>
    <cellStyle name="Dane wyjściowe 2 15 45 2" xfId="13876"/>
    <cellStyle name="Dane wyjściowe 2 15 45 3" xfId="13877"/>
    <cellStyle name="Dane wyjściowe 2 15 46" xfId="13878"/>
    <cellStyle name="Dane wyjściowe 2 15 46 2" xfId="13879"/>
    <cellStyle name="Dane wyjściowe 2 15 46 3" xfId="13880"/>
    <cellStyle name="Dane wyjściowe 2 15 47" xfId="13881"/>
    <cellStyle name="Dane wyjściowe 2 15 47 2" xfId="13882"/>
    <cellStyle name="Dane wyjściowe 2 15 47 3" xfId="13883"/>
    <cellStyle name="Dane wyjściowe 2 15 48" xfId="13884"/>
    <cellStyle name="Dane wyjściowe 2 15 48 2" xfId="13885"/>
    <cellStyle name="Dane wyjściowe 2 15 48 3" xfId="13886"/>
    <cellStyle name="Dane wyjściowe 2 15 49" xfId="13887"/>
    <cellStyle name="Dane wyjściowe 2 15 49 2" xfId="13888"/>
    <cellStyle name="Dane wyjściowe 2 15 49 3" xfId="13889"/>
    <cellStyle name="Dane wyjściowe 2 15 5" xfId="13890"/>
    <cellStyle name="Dane wyjściowe 2 15 5 2" xfId="13891"/>
    <cellStyle name="Dane wyjściowe 2 15 5 3" xfId="13892"/>
    <cellStyle name="Dane wyjściowe 2 15 5 4" xfId="13893"/>
    <cellStyle name="Dane wyjściowe 2 15 50" xfId="13894"/>
    <cellStyle name="Dane wyjściowe 2 15 50 2" xfId="13895"/>
    <cellStyle name="Dane wyjściowe 2 15 50 3" xfId="13896"/>
    <cellStyle name="Dane wyjściowe 2 15 51" xfId="13897"/>
    <cellStyle name="Dane wyjściowe 2 15 51 2" xfId="13898"/>
    <cellStyle name="Dane wyjściowe 2 15 51 3" xfId="13899"/>
    <cellStyle name="Dane wyjściowe 2 15 52" xfId="13900"/>
    <cellStyle name="Dane wyjściowe 2 15 52 2" xfId="13901"/>
    <cellStyle name="Dane wyjściowe 2 15 52 3" xfId="13902"/>
    <cellStyle name="Dane wyjściowe 2 15 53" xfId="13903"/>
    <cellStyle name="Dane wyjściowe 2 15 53 2" xfId="13904"/>
    <cellStyle name="Dane wyjściowe 2 15 53 3" xfId="13905"/>
    <cellStyle name="Dane wyjściowe 2 15 54" xfId="13906"/>
    <cellStyle name="Dane wyjściowe 2 15 54 2" xfId="13907"/>
    <cellStyle name="Dane wyjściowe 2 15 54 3" xfId="13908"/>
    <cellStyle name="Dane wyjściowe 2 15 55" xfId="13909"/>
    <cellStyle name="Dane wyjściowe 2 15 55 2" xfId="13910"/>
    <cellStyle name="Dane wyjściowe 2 15 55 3" xfId="13911"/>
    <cellStyle name="Dane wyjściowe 2 15 56" xfId="13912"/>
    <cellStyle name="Dane wyjściowe 2 15 56 2" xfId="13913"/>
    <cellStyle name="Dane wyjściowe 2 15 56 3" xfId="13914"/>
    <cellStyle name="Dane wyjściowe 2 15 57" xfId="13915"/>
    <cellStyle name="Dane wyjściowe 2 15 58" xfId="13916"/>
    <cellStyle name="Dane wyjściowe 2 15 6" xfId="13917"/>
    <cellStyle name="Dane wyjściowe 2 15 6 2" xfId="13918"/>
    <cellStyle name="Dane wyjściowe 2 15 6 3" xfId="13919"/>
    <cellStyle name="Dane wyjściowe 2 15 6 4" xfId="13920"/>
    <cellStyle name="Dane wyjściowe 2 15 7" xfId="13921"/>
    <cellStyle name="Dane wyjściowe 2 15 7 2" xfId="13922"/>
    <cellStyle name="Dane wyjściowe 2 15 7 3" xfId="13923"/>
    <cellStyle name="Dane wyjściowe 2 15 7 4" xfId="13924"/>
    <cellStyle name="Dane wyjściowe 2 15 8" xfId="13925"/>
    <cellStyle name="Dane wyjściowe 2 15 8 2" xfId="13926"/>
    <cellStyle name="Dane wyjściowe 2 15 8 3" xfId="13927"/>
    <cellStyle name="Dane wyjściowe 2 15 8 4" xfId="13928"/>
    <cellStyle name="Dane wyjściowe 2 15 9" xfId="13929"/>
    <cellStyle name="Dane wyjściowe 2 15 9 2" xfId="13930"/>
    <cellStyle name="Dane wyjściowe 2 15 9 3" xfId="13931"/>
    <cellStyle name="Dane wyjściowe 2 15 9 4" xfId="13932"/>
    <cellStyle name="Dane wyjściowe 2 16" xfId="13933"/>
    <cellStyle name="Dane wyjściowe 2 16 10" xfId="13934"/>
    <cellStyle name="Dane wyjściowe 2 16 10 2" xfId="13935"/>
    <cellStyle name="Dane wyjściowe 2 16 10 3" xfId="13936"/>
    <cellStyle name="Dane wyjściowe 2 16 10 4" xfId="13937"/>
    <cellStyle name="Dane wyjściowe 2 16 11" xfId="13938"/>
    <cellStyle name="Dane wyjściowe 2 16 11 2" xfId="13939"/>
    <cellStyle name="Dane wyjściowe 2 16 11 3" xfId="13940"/>
    <cellStyle name="Dane wyjściowe 2 16 11 4" xfId="13941"/>
    <cellStyle name="Dane wyjściowe 2 16 12" xfId="13942"/>
    <cellStyle name="Dane wyjściowe 2 16 12 2" xfId="13943"/>
    <cellStyle name="Dane wyjściowe 2 16 12 3" xfId="13944"/>
    <cellStyle name="Dane wyjściowe 2 16 12 4" xfId="13945"/>
    <cellStyle name="Dane wyjściowe 2 16 13" xfId="13946"/>
    <cellStyle name="Dane wyjściowe 2 16 13 2" xfId="13947"/>
    <cellStyle name="Dane wyjściowe 2 16 13 3" xfId="13948"/>
    <cellStyle name="Dane wyjściowe 2 16 13 4" xfId="13949"/>
    <cellStyle name="Dane wyjściowe 2 16 14" xfId="13950"/>
    <cellStyle name="Dane wyjściowe 2 16 14 2" xfId="13951"/>
    <cellStyle name="Dane wyjściowe 2 16 14 3" xfId="13952"/>
    <cellStyle name="Dane wyjściowe 2 16 14 4" xfId="13953"/>
    <cellStyle name="Dane wyjściowe 2 16 15" xfId="13954"/>
    <cellStyle name="Dane wyjściowe 2 16 15 2" xfId="13955"/>
    <cellStyle name="Dane wyjściowe 2 16 15 3" xfId="13956"/>
    <cellStyle name="Dane wyjściowe 2 16 15 4" xfId="13957"/>
    <cellStyle name="Dane wyjściowe 2 16 16" xfId="13958"/>
    <cellStyle name="Dane wyjściowe 2 16 16 2" xfId="13959"/>
    <cellStyle name="Dane wyjściowe 2 16 16 3" xfId="13960"/>
    <cellStyle name="Dane wyjściowe 2 16 16 4" xfId="13961"/>
    <cellStyle name="Dane wyjściowe 2 16 17" xfId="13962"/>
    <cellStyle name="Dane wyjściowe 2 16 17 2" xfId="13963"/>
    <cellStyle name="Dane wyjściowe 2 16 17 3" xfId="13964"/>
    <cellStyle name="Dane wyjściowe 2 16 17 4" xfId="13965"/>
    <cellStyle name="Dane wyjściowe 2 16 18" xfId="13966"/>
    <cellStyle name="Dane wyjściowe 2 16 18 2" xfId="13967"/>
    <cellStyle name="Dane wyjściowe 2 16 18 3" xfId="13968"/>
    <cellStyle name="Dane wyjściowe 2 16 18 4" xfId="13969"/>
    <cellStyle name="Dane wyjściowe 2 16 19" xfId="13970"/>
    <cellStyle name="Dane wyjściowe 2 16 19 2" xfId="13971"/>
    <cellStyle name="Dane wyjściowe 2 16 19 3" xfId="13972"/>
    <cellStyle name="Dane wyjściowe 2 16 19 4" xfId="13973"/>
    <cellStyle name="Dane wyjściowe 2 16 2" xfId="13974"/>
    <cellStyle name="Dane wyjściowe 2 16 2 2" xfId="13975"/>
    <cellStyle name="Dane wyjściowe 2 16 2 3" xfId="13976"/>
    <cellStyle name="Dane wyjściowe 2 16 2 4" xfId="13977"/>
    <cellStyle name="Dane wyjściowe 2 16 20" xfId="13978"/>
    <cellStyle name="Dane wyjściowe 2 16 20 2" xfId="13979"/>
    <cellStyle name="Dane wyjściowe 2 16 20 3" xfId="13980"/>
    <cellStyle name="Dane wyjściowe 2 16 20 4" xfId="13981"/>
    <cellStyle name="Dane wyjściowe 2 16 21" xfId="13982"/>
    <cellStyle name="Dane wyjściowe 2 16 21 2" xfId="13983"/>
    <cellStyle name="Dane wyjściowe 2 16 21 3" xfId="13984"/>
    <cellStyle name="Dane wyjściowe 2 16 22" xfId="13985"/>
    <cellStyle name="Dane wyjściowe 2 16 22 2" xfId="13986"/>
    <cellStyle name="Dane wyjściowe 2 16 22 3" xfId="13987"/>
    <cellStyle name="Dane wyjściowe 2 16 23" xfId="13988"/>
    <cellStyle name="Dane wyjściowe 2 16 23 2" xfId="13989"/>
    <cellStyle name="Dane wyjściowe 2 16 23 3" xfId="13990"/>
    <cellStyle name="Dane wyjściowe 2 16 24" xfId="13991"/>
    <cellStyle name="Dane wyjściowe 2 16 24 2" xfId="13992"/>
    <cellStyle name="Dane wyjściowe 2 16 24 3" xfId="13993"/>
    <cellStyle name="Dane wyjściowe 2 16 25" xfId="13994"/>
    <cellStyle name="Dane wyjściowe 2 16 25 2" xfId="13995"/>
    <cellStyle name="Dane wyjściowe 2 16 25 3" xfId="13996"/>
    <cellStyle name="Dane wyjściowe 2 16 26" xfId="13997"/>
    <cellStyle name="Dane wyjściowe 2 16 26 2" xfId="13998"/>
    <cellStyle name="Dane wyjściowe 2 16 26 3" xfId="13999"/>
    <cellStyle name="Dane wyjściowe 2 16 27" xfId="14000"/>
    <cellStyle name="Dane wyjściowe 2 16 27 2" xfId="14001"/>
    <cellStyle name="Dane wyjściowe 2 16 27 3" xfId="14002"/>
    <cellStyle name="Dane wyjściowe 2 16 28" xfId="14003"/>
    <cellStyle name="Dane wyjściowe 2 16 28 2" xfId="14004"/>
    <cellStyle name="Dane wyjściowe 2 16 28 3" xfId="14005"/>
    <cellStyle name="Dane wyjściowe 2 16 29" xfId="14006"/>
    <cellStyle name="Dane wyjściowe 2 16 29 2" xfId="14007"/>
    <cellStyle name="Dane wyjściowe 2 16 29 3" xfId="14008"/>
    <cellStyle name="Dane wyjściowe 2 16 3" xfId="14009"/>
    <cellStyle name="Dane wyjściowe 2 16 3 2" xfId="14010"/>
    <cellStyle name="Dane wyjściowe 2 16 3 3" xfId="14011"/>
    <cellStyle name="Dane wyjściowe 2 16 3 4" xfId="14012"/>
    <cellStyle name="Dane wyjściowe 2 16 30" xfId="14013"/>
    <cellStyle name="Dane wyjściowe 2 16 30 2" xfId="14014"/>
    <cellStyle name="Dane wyjściowe 2 16 30 3" xfId="14015"/>
    <cellStyle name="Dane wyjściowe 2 16 31" xfId="14016"/>
    <cellStyle name="Dane wyjściowe 2 16 31 2" xfId="14017"/>
    <cellStyle name="Dane wyjściowe 2 16 31 3" xfId="14018"/>
    <cellStyle name="Dane wyjściowe 2 16 32" xfId="14019"/>
    <cellStyle name="Dane wyjściowe 2 16 32 2" xfId="14020"/>
    <cellStyle name="Dane wyjściowe 2 16 32 3" xfId="14021"/>
    <cellStyle name="Dane wyjściowe 2 16 33" xfId="14022"/>
    <cellStyle name="Dane wyjściowe 2 16 33 2" xfId="14023"/>
    <cellStyle name="Dane wyjściowe 2 16 33 3" xfId="14024"/>
    <cellStyle name="Dane wyjściowe 2 16 34" xfId="14025"/>
    <cellStyle name="Dane wyjściowe 2 16 34 2" xfId="14026"/>
    <cellStyle name="Dane wyjściowe 2 16 34 3" xfId="14027"/>
    <cellStyle name="Dane wyjściowe 2 16 35" xfId="14028"/>
    <cellStyle name="Dane wyjściowe 2 16 35 2" xfId="14029"/>
    <cellStyle name="Dane wyjściowe 2 16 35 3" xfId="14030"/>
    <cellStyle name="Dane wyjściowe 2 16 36" xfId="14031"/>
    <cellStyle name="Dane wyjściowe 2 16 36 2" xfId="14032"/>
    <cellStyle name="Dane wyjściowe 2 16 36 3" xfId="14033"/>
    <cellStyle name="Dane wyjściowe 2 16 37" xfId="14034"/>
    <cellStyle name="Dane wyjściowe 2 16 37 2" xfId="14035"/>
    <cellStyle name="Dane wyjściowe 2 16 37 3" xfId="14036"/>
    <cellStyle name="Dane wyjściowe 2 16 38" xfId="14037"/>
    <cellStyle name="Dane wyjściowe 2 16 38 2" xfId="14038"/>
    <cellStyle name="Dane wyjściowe 2 16 38 3" xfId="14039"/>
    <cellStyle name="Dane wyjściowe 2 16 39" xfId="14040"/>
    <cellStyle name="Dane wyjściowe 2 16 39 2" xfId="14041"/>
    <cellStyle name="Dane wyjściowe 2 16 39 3" xfId="14042"/>
    <cellStyle name="Dane wyjściowe 2 16 4" xfId="14043"/>
    <cellStyle name="Dane wyjściowe 2 16 4 2" xfId="14044"/>
    <cellStyle name="Dane wyjściowe 2 16 4 3" xfId="14045"/>
    <cellStyle name="Dane wyjściowe 2 16 4 4" xfId="14046"/>
    <cellStyle name="Dane wyjściowe 2 16 40" xfId="14047"/>
    <cellStyle name="Dane wyjściowe 2 16 40 2" xfId="14048"/>
    <cellStyle name="Dane wyjściowe 2 16 40 3" xfId="14049"/>
    <cellStyle name="Dane wyjściowe 2 16 41" xfId="14050"/>
    <cellStyle name="Dane wyjściowe 2 16 41 2" xfId="14051"/>
    <cellStyle name="Dane wyjściowe 2 16 41 3" xfId="14052"/>
    <cellStyle name="Dane wyjściowe 2 16 42" xfId="14053"/>
    <cellStyle name="Dane wyjściowe 2 16 42 2" xfId="14054"/>
    <cellStyle name="Dane wyjściowe 2 16 42 3" xfId="14055"/>
    <cellStyle name="Dane wyjściowe 2 16 43" xfId="14056"/>
    <cellStyle name="Dane wyjściowe 2 16 43 2" xfId="14057"/>
    <cellStyle name="Dane wyjściowe 2 16 43 3" xfId="14058"/>
    <cellStyle name="Dane wyjściowe 2 16 44" xfId="14059"/>
    <cellStyle name="Dane wyjściowe 2 16 44 2" xfId="14060"/>
    <cellStyle name="Dane wyjściowe 2 16 44 3" xfId="14061"/>
    <cellStyle name="Dane wyjściowe 2 16 45" xfId="14062"/>
    <cellStyle name="Dane wyjściowe 2 16 45 2" xfId="14063"/>
    <cellStyle name="Dane wyjściowe 2 16 45 3" xfId="14064"/>
    <cellStyle name="Dane wyjściowe 2 16 46" xfId="14065"/>
    <cellStyle name="Dane wyjściowe 2 16 46 2" xfId="14066"/>
    <cellStyle name="Dane wyjściowe 2 16 46 3" xfId="14067"/>
    <cellStyle name="Dane wyjściowe 2 16 47" xfId="14068"/>
    <cellStyle name="Dane wyjściowe 2 16 47 2" xfId="14069"/>
    <cellStyle name="Dane wyjściowe 2 16 47 3" xfId="14070"/>
    <cellStyle name="Dane wyjściowe 2 16 48" xfId="14071"/>
    <cellStyle name="Dane wyjściowe 2 16 48 2" xfId="14072"/>
    <cellStyle name="Dane wyjściowe 2 16 48 3" xfId="14073"/>
    <cellStyle name="Dane wyjściowe 2 16 49" xfId="14074"/>
    <cellStyle name="Dane wyjściowe 2 16 49 2" xfId="14075"/>
    <cellStyle name="Dane wyjściowe 2 16 49 3" xfId="14076"/>
    <cellStyle name="Dane wyjściowe 2 16 5" xfId="14077"/>
    <cellStyle name="Dane wyjściowe 2 16 5 2" xfId="14078"/>
    <cellStyle name="Dane wyjściowe 2 16 5 3" xfId="14079"/>
    <cellStyle name="Dane wyjściowe 2 16 5 4" xfId="14080"/>
    <cellStyle name="Dane wyjściowe 2 16 50" xfId="14081"/>
    <cellStyle name="Dane wyjściowe 2 16 50 2" xfId="14082"/>
    <cellStyle name="Dane wyjściowe 2 16 50 3" xfId="14083"/>
    <cellStyle name="Dane wyjściowe 2 16 51" xfId="14084"/>
    <cellStyle name="Dane wyjściowe 2 16 51 2" xfId="14085"/>
    <cellStyle name="Dane wyjściowe 2 16 51 3" xfId="14086"/>
    <cellStyle name="Dane wyjściowe 2 16 52" xfId="14087"/>
    <cellStyle name="Dane wyjściowe 2 16 52 2" xfId="14088"/>
    <cellStyle name="Dane wyjściowe 2 16 52 3" xfId="14089"/>
    <cellStyle name="Dane wyjściowe 2 16 53" xfId="14090"/>
    <cellStyle name="Dane wyjściowe 2 16 53 2" xfId="14091"/>
    <cellStyle name="Dane wyjściowe 2 16 53 3" xfId="14092"/>
    <cellStyle name="Dane wyjściowe 2 16 54" xfId="14093"/>
    <cellStyle name="Dane wyjściowe 2 16 54 2" xfId="14094"/>
    <cellStyle name="Dane wyjściowe 2 16 54 3" xfId="14095"/>
    <cellStyle name="Dane wyjściowe 2 16 55" xfId="14096"/>
    <cellStyle name="Dane wyjściowe 2 16 55 2" xfId="14097"/>
    <cellStyle name="Dane wyjściowe 2 16 55 3" xfId="14098"/>
    <cellStyle name="Dane wyjściowe 2 16 56" xfId="14099"/>
    <cellStyle name="Dane wyjściowe 2 16 56 2" xfId="14100"/>
    <cellStyle name="Dane wyjściowe 2 16 56 3" xfId="14101"/>
    <cellStyle name="Dane wyjściowe 2 16 57" xfId="14102"/>
    <cellStyle name="Dane wyjściowe 2 16 58" xfId="14103"/>
    <cellStyle name="Dane wyjściowe 2 16 6" xfId="14104"/>
    <cellStyle name="Dane wyjściowe 2 16 6 2" xfId="14105"/>
    <cellStyle name="Dane wyjściowe 2 16 6 3" xfId="14106"/>
    <cellStyle name="Dane wyjściowe 2 16 6 4" xfId="14107"/>
    <cellStyle name="Dane wyjściowe 2 16 7" xfId="14108"/>
    <cellStyle name="Dane wyjściowe 2 16 7 2" xfId="14109"/>
    <cellStyle name="Dane wyjściowe 2 16 7 3" xfId="14110"/>
    <cellStyle name="Dane wyjściowe 2 16 7 4" xfId="14111"/>
    <cellStyle name="Dane wyjściowe 2 16 8" xfId="14112"/>
    <cellStyle name="Dane wyjściowe 2 16 8 2" xfId="14113"/>
    <cellStyle name="Dane wyjściowe 2 16 8 3" xfId="14114"/>
    <cellStyle name="Dane wyjściowe 2 16 8 4" xfId="14115"/>
    <cellStyle name="Dane wyjściowe 2 16 9" xfId="14116"/>
    <cellStyle name="Dane wyjściowe 2 16 9 2" xfId="14117"/>
    <cellStyle name="Dane wyjściowe 2 16 9 3" xfId="14118"/>
    <cellStyle name="Dane wyjściowe 2 16 9 4" xfId="14119"/>
    <cellStyle name="Dane wyjściowe 2 17" xfId="14120"/>
    <cellStyle name="Dane wyjściowe 2 17 10" xfId="14121"/>
    <cellStyle name="Dane wyjściowe 2 17 10 2" xfId="14122"/>
    <cellStyle name="Dane wyjściowe 2 17 10 3" xfId="14123"/>
    <cellStyle name="Dane wyjściowe 2 17 10 4" xfId="14124"/>
    <cellStyle name="Dane wyjściowe 2 17 11" xfId="14125"/>
    <cellStyle name="Dane wyjściowe 2 17 11 2" xfId="14126"/>
    <cellStyle name="Dane wyjściowe 2 17 11 3" xfId="14127"/>
    <cellStyle name="Dane wyjściowe 2 17 11 4" xfId="14128"/>
    <cellStyle name="Dane wyjściowe 2 17 12" xfId="14129"/>
    <cellStyle name="Dane wyjściowe 2 17 12 2" xfId="14130"/>
    <cellStyle name="Dane wyjściowe 2 17 12 3" xfId="14131"/>
    <cellStyle name="Dane wyjściowe 2 17 12 4" xfId="14132"/>
    <cellStyle name="Dane wyjściowe 2 17 13" xfId="14133"/>
    <cellStyle name="Dane wyjściowe 2 17 13 2" xfId="14134"/>
    <cellStyle name="Dane wyjściowe 2 17 13 3" xfId="14135"/>
    <cellStyle name="Dane wyjściowe 2 17 13 4" xfId="14136"/>
    <cellStyle name="Dane wyjściowe 2 17 14" xfId="14137"/>
    <cellStyle name="Dane wyjściowe 2 17 14 2" xfId="14138"/>
    <cellStyle name="Dane wyjściowe 2 17 14 3" xfId="14139"/>
    <cellStyle name="Dane wyjściowe 2 17 14 4" xfId="14140"/>
    <cellStyle name="Dane wyjściowe 2 17 15" xfId="14141"/>
    <cellStyle name="Dane wyjściowe 2 17 15 2" xfId="14142"/>
    <cellStyle name="Dane wyjściowe 2 17 15 3" xfId="14143"/>
    <cellStyle name="Dane wyjściowe 2 17 15 4" xfId="14144"/>
    <cellStyle name="Dane wyjściowe 2 17 16" xfId="14145"/>
    <cellStyle name="Dane wyjściowe 2 17 16 2" xfId="14146"/>
    <cellStyle name="Dane wyjściowe 2 17 16 3" xfId="14147"/>
    <cellStyle name="Dane wyjściowe 2 17 16 4" xfId="14148"/>
    <cellStyle name="Dane wyjściowe 2 17 17" xfId="14149"/>
    <cellStyle name="Dane wyjściowe 2 17 17 2" xfId="14150"/>
    <cellStyle name="Dane wyjściowe 2 17 17 3" xfId="14151"/>
    <cellStyle name="Dane wyjściowe 2 17 17 4" xfId="14152"/>
    <cellStyle name="Dane wyjściowe 2 17 18" xfId="14153"/>
    <cellStyle name="Dane wyjściowe 2 17 18 2" xfId="14154"/>
    <cellStyle name="Dane wyjściowe 2 17 18 3" xfId="14155"/>
    <cellStyle name="Dane wyjściowe 2 17 18 4" xfId="14156"/>
    <cellStyle name="Dane wyjściowe 2 17 19" xfId="14157"/>
    <cellStyle name="Dane wyjściowe 2 17 19 2" xfId="14158"/>
    <cellStyle name="Dane wyjściowe 2 17 19 3" xfId="14159"/>
    <cellStyle name="Dane wyjściowe 2 17 19 4" xfId="14160"/>
    <cellStyle name="Dane wyjściowe 2 17 2" xfId="14161"/>
    <cellStyle name="Dane wyjściowe 2 17 2 2" xfId="14162"/>
    <cellStyle name="Dane wyjściowe 2 17 2 3" xfId="14163"/>
    <cellStyle name="Dane wyjściowe 2 17 2 4" xfId="14164"/>
    <cellStyle name="Dane wyjściowe 2 17 20" xfId="14165"/>
    <cellStyle name="Dane wyjściowe 2 17 20 2" xfId="14166"/>
    <cellStyle name="Dane wyjściowe 2 17 20 3" xfId="14167"/>
    <cellStyle name="Dane wyjściowe 2 17 20 4" xfId="14168"/>
    <cellStyle name="Dane wyjściowe 2 17 21" xfId="14169"/>
    <cellStyle name="Dane wyjściowe 2 17 21 2" xfId="14170"/>
    <cellStyle name="Dane wyjściowe 2 17 21 3" xfId="14171"/>
    <cellStyle name="Dane wyjściowe 2 17 22" xfId="14172"/>
    <cellStyle name="Dane wyjściowe 2 17 22 2" xfId="14173"/>
    <cellStyle name="Dane wyjściowe 2 17 22 3" xfId="14174"/>
    <cellStyle name="Dane wyjściowe 2 17 23" xfId="14175"/>
    <cellStyle name="Dane wyjściowe 2 17 23 2" xfId="14176"/>
    <cellStyle name="Dane wyjściowe 2 17 23 3" xfId="14177"/>
    <cellStyle name="Dane wyjściowe 2 17 24" xfId="14178"/>
    <cellStyle name="Dane wyjściowe 2 17 24 2" xfId="14179"/>
    <cellStyle name="Dane wyjściowe 2 17 24 3" xfId="14180"/>
    <cellStyle name="Dane wyjściowe 2 17 25" xfId="14181"/>
    <cellStyle name="Dane wyjściowe 2 17 25 2" xfId="14182"/>
    <cellStyle name="Dane wyjściowe 2 17 25 3" xfId="14183"/>
    <cellStyle name="Dane wyjściowe 2 17 26" xfId="14184"/>
    <cellStyle name="Dane wyjściowe 2 17 26 2" xfId="14185"/>
    <cellStyle name="Dane wyjściowe 2 17 26 3" xfId="14186"/>
    <cellStyle name="Dane wyjściowe 2 17 27" xfId="14187"/>
    <cellStyle name="Dane wyjściowe 2 17 27 2" xfId="14188"/>
    <cellStyle name="Dane wyjściowe 2 17 27 3" xfId="14189"/>
    <cellStyle name="Dane wyjściowe 2 17 28" xfId="14190"/>
    <cellStyle name="Dane wyjściowe 2 17 28 2" xfId="14191"/>
    <cellStyle name="Dane wyjściowe 2 17 28 3" xfId="14192"/>
    <cellStyle name="Dane wyjściowe 2 17 29" xfId="14193"/>
    <cellStyle name="Dane wyjściowe 2 17 29 2" xfId="14194"/>
    <cellStyle name="Dane wyjściowe 2 17 29 3" xfId="14195"/>
    <cellStyle name="Dane wyjściowe 2 17 3" xfId="14196"/>
    <cellStyle name="Dane wyjściowe 2 17 3 2" xfId="14197"/>
    <cellStyle name="Dane wyjściowe 2 17 3 3" xfId="14198"/>
    <cellStyle name="Dane wyjściowe 2 17 3 4" xfId="14199"/>
    <cellStyle name="Dane wyjściowe 2 17 30" xfId="14200"/>
    <cellStyle name="Dane wyjściowe 2 17 30 2" xfId="14201"/>
    <cellStyle name="Dane wyjściowe 2 17 30 3" xfId="14202"/>
    <cellStyle name="Dane wyjściowe 2 17 31" xfId="14203"/>
    <cellStyle name="Dane wyjściowe 2 17 31 2" xfId="14204"/>
    <cellStyle name="Dane wyjściowe 2 17 31 3" xfId="14205"/>
    <cellStyle name="Dane wyjściowe 2 17 32" xfId="14206"/>
    <cellStyle name="Dane wyjściowe 2 17 32 2" xfId="14207"/>
    <cellStyle name="Dane wyjściowe 2 17 32 3" xfId="14208"/>
    <cellStyle name="Dane wyjściowe 2 17 33" xfId="14209"/>
    <cellStyle name="Dane wyjściowe 2 17 33 2" xfId="14210"/>
    <cellStyle name="Dane wyjściowe 2 17 33 3" xfId="14211"/>
    <cellStyle name="Dane wyjściowe 2 17 34" xfId="14212"/>
    <cellStyle name="Dane wyjściowe 2 17 34 2" xfId="14213"/>
    <cellStyle name="Dane wyjściowe 2 17 34 3" xfId="14214"/>
    <cellStyle name="Dane wyjściowe 2 17 35" xfId="14215"/>
    <cellStyle name="Dane wyjściowe 2 17 35 2" xfId="14216"/>
    <cellStyle name="Dane wyjściowe 2 17 35 3" xfId="14217"/>
    <cellStyle name="Dane wyjściowe 2 17 36" xfId="14218"/>
    <cellStyle name="Dane wyjściowe 2 17 36 2" xfId="14219"/>
    <cellStyle name="Dane wyjściowe 2 17 36 3" xfId="14220"/>
    <cellStyle name="Dane wyjściowe 2 17 37" xfId="14221"/>
    <cellStyle name="Dane wyjściowe 2 17 37 2" xfId="14222"/>
    <cellStyle name="Dane wyjściowe 2 17 37 3" xfId="14223"/>
    <cellStyle name="Dane wyjściowe 2 17 38" xfId="14224"/>
    <cellStyle name="Dane wyjściowe 2 17 38 2" xfId="14225"/>
    <cellStyle name="Dane wyjściowe 2 17 38 3" xfId="14226"/>
    <cellStyle name="Dane wyjściowe 2 17 39" xfId="14227"/>
    <cellStyle name="Dane wyjściowe 2 17 39 2" xfId="14228"/>
    <cellStyle name="Dane wyjściowe 2 17 39 3" xfId="14229"/>
    <cellStyle name="Dane wyjściowe 2 17 4" xfId="14230"/>
    <cellStyle name="Dane wyjściowe 2 17 4 2" xfId="14231"/>
    <cellStyle name="Dane wyjściowe 2 17 4 3" xfId="14232"/>
    <cellStyle name="Dane wyjściowe 2 17 4 4" xfId="14233"/>
    <cellStyle name="Dane wyjściowe 2 17 40" xfId="14234"/>
    <cellStyle name="Dane wyjściowe 2 17 40 2" xfId="14235"/>
    <cellStyle name="Dane wyjściowe 2 17 40 3" xfId="14236"/>
    <cellStyle name="Dane wyjściowe 2 17 41" xfId="14237"/>
    <cellStyle name="Dane wyjściowe 2 17 41 2" xfId="14238"/>
    <cellStyle name="Dane wyjściowe 2 17 41 3" xfId="14239"/>
    <cellStyle name="Dane wyjściowe 2 17 42" xfId="14240"/>
    <cellStyle name="Dane wyjściowe 2 17 42 2" xfId="14241"/>
    <cellStyle name="Dane wyjściowe 2 17 42 3" xfId="14242"/>
    <cellStyle name="Dane wyjściowe 2 17 43" xfId="14243"/>
    <cellStyle name="Dane wyjściowe 2 17 43 2" xfId="14244"/>
    <cellStyle name="Dane wyjściowe 2 17 43 3" xfId="14245"/>
    <cellStyle name="Dane wyjściowe 2 17 44" xfId="14246"/>
    <cellStyle name="Dane wyjściowe 2 17 44 2" xfId="14247"/>
    <cellStyle name="Dane wyjściowe 2 17 44 3" xfId="14248"/>
    <cellStyle name="Dane wyjściowe 2 17 45" xfId="14249"/>
    <cellStyle name="Dane wyjściowe 2 17 45 2" xfId="14250"/>
    <cellStyle name="Dane wyjściowe 2 17 45 3" xfId="14251"/>
    <cellStyle name="Dane wyjściowe 2 17 46" xfId="14252"/>
    <cellStyle name="Dane wyjściowe 2 17 46 2" xfId="14253"/>
    <cellStyle name="Dane wyjściowe 2 17 46 3" xfId="14254"/>
    <cellStyle name="Dane wyjściowe 2 17 47" xfId="14255"/>
    <cellStyle name="Dane wyjściowe 2 17 47 2" xfId="14256"/>
    <cellStyle name="Dane wyjściowe 2 17 47 3" xfId="14257"/>
    <cellStyle name="Dane wyjściowe 2 17 48" xfId="14258"/>
    <cellStyle name="Dane wyjściowe 2 17 48 2" xfId="14259"/>
    <cellStyle name="Dane wyjściowe 2 17 48 3" xfId="14260"/>
    <cellStyle name="Dane wyjściowe 2 17 49" xfId="14261"/>
    <cellStyle name="Dane wyjściowe 2 17 49 2" xfId="14262"/>
    <cellStyle name="Dane wyjściowe 2 17 49 3" xfId="14263"/>
    <cellStyle name="Dane wyjściowe 2 17 5" xfId="14264"/>
    <cellStyle name="Dane wyjściowe 2 17 5 2" xfId="14265"/>
    <cellStyle name="Dane wyjściowe 2 17 5 3" xfId="14266"/>
    <cellStyle name="Dane wyjściowe 2 17 5 4" xfId="14267"/>
    <cellStyle name="Dane wyjściowe 2 17 50" xfId="14268"/>
    <cellStyle name="Dane wyjściowe 2 17 50 2" xfId="14269"/>
    <cellStyle name="Dane wyjściowe 2 17 50 3" xfId="14270"/>
    <cellStyle name="Dane wyjściowe 2 17 51" xfId="14271"/>
    <cellStyle name="Dane wyjściowe 2 17 51 2" xfId="14272"/>
    <cellStyle name="Dane wyjściowe 2 17 51 3" xfId="14273"/>
    <cellStyle name="Dane wyjściowe 2 17 52" xfId="14274"/>
    <cellStyle name="Dane wyjściowe 2 17 52 2" xfId="14275"/>
    <cellStyle name="Dane wyjściowe 2 17 52 3" xfId="14276"/>
    <cellStyle name="Dane wyjściowe 2 17 53" xfId="14277"/>
    <cellStyle name="Dane wyjściowe 2 17 53 2" xfId="14278"/>
    <cellStyle name="Dane wyjściowe 2 17 53 3" xfId="14279"/>
    <cellStyle name="Dane wyjściowe 2 17 54" xfId="14280"/>
    <cellStyle name="Dane wyjściowe 2 17 54 2" xfId="14281"/>
    <cellStyle name="Dane wyjściowe 2 17 54 3" xfId="14282"/>
    <cellStyle name="Dane wyjściowe 2 17 55" xfId="14283"/>
    <cellStyle name="Dane wyjściowe 2 17 55 2" xfId="14284"/>
    <cellStyle name="Dane wyjściowe 2 17 55 3" xfId="14285"/>
    <cellStyle name="Dane wyjściowe 2 17 56" xfId="14286"/>
    <cellStyle name="Dane wyjściowe 2 17 56 2" xfId="14287"/>
    <cellStyle name="Dane wyjściowe 2 17 56 3" xfId="14288"/>
    <cellStyle name="Dane wyjściowe 2 17 57" xfId="14289"/>
    <cellStyle name="Dane wyjściowe 2 17 58" xfId="14290"/>
    <cellStyle name="Dane wyjściowe 2 17 6" xfId="14291"/>
    <cellStyle name="Dane wyjściowe 2 17 6 2" xfId="14292"/>
    <cellStyle name="Dane wyjściowe 2 17 6 3" xfId="14293"/>
    <cellStyle name="Dane wyjściowe 2 17 6 4" xfId="14294"/>
    <cellStyle name="Dane wyjściowe 2 17 7" xfId="14295"/>
    <cellStyle name="Dane wyjściowe 2 17 7 2" xfId="14296"/>
    <cellStyle name="Dane wyjściowe 2 17 7 3" xfId="14297"/>
    <cellStyle name="Dane wyjściowe 2 17 7 4" xfId="14298"/>
    <cellStyle name="Dane wyjściowe 2 17 8" xfId="14299"/>
    <cellStyle name="Dane wyjściowe 2 17 8 2" xfId="14300"/>
    <cellStyle name="Dane wyjściowe 2 17 8 3" xfId="14301"/>
    <cellStyle name="Dane wyjściowe 2 17 8 4" xfId="14302"/>
    <cellStyle name="Dane wyjściowe 2 17 9" xfId="14303"/>
    <cellStyle name="Dane wyjściowe 2 17 9 2" xfId="14304"/>
    <cellStyle name="Dane wyjściowe 2 17 9 3" xfId="14305"/>
    <cellStyle name="Dane wyjściowe 2 17 9 4" xfId="14306"/>
    <cellStyle name="Dane wyjściowe 2 18" xfId="14307"/>
    <cellStyle name="Dane wyjściowe 2 18 10" xfId="14308"/>
    <cellStyle name="Dane wyjściowe 2 18 10 2" xfId="14309"/>
    <cellStyle name="Dane wyjściowe 2 18 10 3" xfId="14310"/>
    <cellStyle name="Dane wyjściowe 2 18 10 4" xfId="14311"/>
    <cellStyle name="Dane wyjściowe 2 18 11" xfId="14312"/>
    <cellStyle name="Dane wyjściowe 2 18 11 2" xfId="14313"/>
    <cellStyle name="Dane wyjściowe 2 18 11 3" xfId="14314"/>
    <cellStyle name="Dane wyjściowe 2 18 11 4" xfId="14315"/>
    <cellStyle name="Dane wyjściowe 2 18 12" xfId="14316"/>
    <cellStyle name="Dane wyjściowe 2 18 12 2" xfId="14317"/>
    <cellStyle name="Dane wyjściowe 2 18 12 3" xfId="14318"/>
    <cellStyle name="Dane wyjściowe 2 18 12 4" xfId="14319"/>
    <cellStyle name="Dane wyjściowe 2 18 13" xfId="14320"/>
    <cellStyle name="Dane wyjściowe 2 18 13 2" xfId="14321"/>
    <cellStyle name="Dane wyjściowe 2 18 13 3" xfId="14322"/>
    <cellStyle name="Dane wyjściowe 2 18 13 4" xfId="14323"/>
    <cellStyle name="Dane wyjściowe 2 18 14" xfId="14324"/>
    <cellStyle name="Dane wyjściowe 2 18 14 2" xfId="14325"/>
    <cellStyle name="Dane wyjściowe 2 18 14 3" xfId="14326"/>
    <cellStyle name="Dane wyjściowe 2 18 14 4" xfId="14327"/>
    <cellStyle name="Dane wyjściowe 2 18 15" xfId="14328"/>
    <cellStyle name="Dane wyjściowe 2 18 15 2" xfId="14329"/>
    <cellStyle name="Dane wyjściowe 2 18 15 3" xfId="14330"/>
    <cellStyle name="Dane wyjściowe 2 18 15 4" xfId="14331"/>
    <cellStyle name="Dane wyjściowe 2 18 16" xfId="14332"/>
    <cellStyle name="Dane wyjściowe 2 18 16 2" xfId="14333"/>
    <cellStyle name="Dane wyjściowe 2 18 16 3" xfId="14334"/>
    <cellStyle name="Dane wyjściowe 2 18 16 4" xfId="14335"/>
    <cellStyle name="Dane wyjściowe 2 18 17" xfId="14336"/>
    <cellStyle name="Dane wyjściowe 2 18 17 2" xfId="14337"/>
    <cellStyle name="Dane wyjściowe 2 18 17 3" xfId="14338"/>
    <cellStyle name="Dane wyjściowe 2 18 17 4" xfId="14339"/>
    <cellStyle name="Dane wyjściowe 2 18 18" xfId="14340"/>
    <cellStyle name="Dane wyjściowe 2 18 18 2" xfId="14341"/>
    <cellStyle name="Dane wyjściowe 2 18 18 3" xfId="14342"/>
    <cellStyle name="Dane wyjściowe 2 18 18 4" xfId="14343"/>
    <cellStyle name="Dane wyjściowe 2 18 19" xfId="14344"/>
    <cellStyle name="Dane wyjściowe 2 18 19 2" xfId="14345"/>
    <cellStyle name="Dane wyjściowe 2 18 19 3" xfId="14346"/>
    <cellStyle name="Dane wyjściowe 2 18 19 4" xfId="14347"/>
    <cellStyle name="Dane wyjściowe 2 18 2" xfId="14348"/>
    <cellStyle name="Dane wyjściowe 2 18 2 2" xfId="14349"/>
    <cellStyle name="Dane wyjściowe 2 18 2 3" xfId="14350"/>
    <cellStyle name="Dane wyjściowe 2 18 2 4" xfId="14351"/>
    <cellStyle name="Dane wyjściowe 2 18 20" xfId="14352"/>
    <cellStyle name="Dane wyjściowe 2 18 20 2" xfId="14353"/>
    <cellStyle name="Dane wyjściowe 2 18 20 3" xfId="14354"/>
    <cellStyle name="Dane wyjściowe 2 18 20 4" xfId="14355"/>
    <cellStyle name="Dane wyjściowe 2 18 21" xfId="14356"/>
    <cellStyle name="Dane wyjściowe 2 18 21 2" xfId="14357"/>
    <cellStyle name="Dane wyjściowe 2 18 21 3" xfId="14358"/>
    <cellStyle name="Dane wyjściowe 2 18 22" xfId="14359"/>
    <cellStyle name="Dane wyjściowe 2 18 22 2" xfId="14360"/>
    <cellStyle name="Dane wyjściowe 2 18 22 3" xfId="14361"/>
    <cellStyle name="Dane wyjściowe 2 18 23" xfId="14362"/>
    <cellStyle name="Dane wyjściowe 2 18 23 2" xfId="14363"/>
    <cellStyle name="Dane wyjściowe 2 18 23 3" xfId="14364"/>
    <cellStyle name="Dane wyjściowe 2 18 24" xfId="14365"/>
    <cellStyle name="Dane wyjściowe 2 18 24 2" xfId="14366"/>
    <cellStyle name="Dane wyjściowe 2 18 24 3" xfId="14367"/>
    <cellStyle name="Dane wyjściowe 2 18 25" xfId="14368"/>
    <cellStyle name="Dane wyjściowe 2 18 25 2" xfId="14369"/>
    <cellStyle name="Dane wyjściowe 2 18 25 3" xfId="14370"/>
    <cellStyle name="Dane wyjściowe 2 18 26" xfId="14371"/>
    <cellStyle name="Dane wyjściowe 2 18 26 2" xfId="14372"/>
    <cellStyle name="Dane wyjściowe 2 18 26 3" xfId="14373"/>
    <cellStyle name="Dane wyjściowe 2 18 27" xfId="14374"/>
    <cellStyle name="Dane wyjściowe 2 18 27 2" xfId="14375"/>
    <cellStyle name="Dane wyjściowe 2 18 27 3" xfId="14376"/>
    <cellStyle name="Dane wyjściowe 2 18 28" xfId="14377"/>
    <cellStyle name="Dane wyjściowe 2 18 28 2" xfId="14378"/>
    <cellStyle name="Dane wyjściowe 2 18 28 3" xfId="14379"/>
    <cellStyle name="Dane wyjściowe 2 18 29" xfId="14380"/>
    <cellStyle name="Dane wyjściowe 2 18 29 2" xfId="14381"/>
    <cellStyle name="Dane wyjściowe 2 18 29 3" xfId="14382"/>
    <cellStyle name="Dane wyjściowe 2 18 3" xfId="14383"/>
    <cellStyle name="Dane wyjściowe 2 18 3 2" xfId="14384"/>
    <cellStyle name="Dane wyjściowe 2 18 3 3" xfId="14385"/>
    <cellStyle name="Dane wyjściowe 2 18 3 4" xfId="14386"/>
    <cellStyle name="Dane wyjściowe 2 18 30" xfId="14387"/>
    <cellStyle name="Dane wyjściowe 2 18 30 2" xfId="14388"/>
    <cellStyle name="Dane wyjściowe 2 18 30 3" xfId="14389"/>
    <cellStyle name="Dane wyjściowe 2 18 31" xfId="14390"/>
    <cellStyle name="Dane wyjściowe 2 18 31 2" xfId="14391"/>
    <cellStyle name="Dane wyjściowe 2 18 31 3" xfId="14392"/>
    <cellStyle name="Dane wyjściowe 2 18 32" xfId="14393"/>
    <cellStyle name="Dane wyjściowe 2 18 32 2" xfId="14394"/>
    <cellStyle name="Dane wyjściowe 2 18 32 3" xfId="14395"/>
    <cellStyle name="Dane wyjściowe 2 18 33" xfId="14396"/>
    <cellStyle name="Dane wyjściowe 2 18 33 2" xfId="14397"/>
    <cellStyle name="Dane wyjściowe 2 18 33 3" xfId="14398"/>
    <cellStyle name="Dane wyjściowe 2 18 34" xfId="14399"/>
    <cellStyle name="Dane wyjściowe 2 18 34 2" xfId="14400"/>
    <cellStyle name="Dane wyjściowe 2 18 34 3" xfId="14401"/>
    <cellStyle name="Dane wyjściowe 2 18 35" xfId="14402"/>
    <cellStyle name="Dane wyjściowe 2 18 35 2" xfId="14403"/>
    <cellStyle name="Dane wyjściowe 2 18 35 3" xfId="14404"/>
    <cellStyle name="Dane wyjściowe 2 18 36" xfId="14405"/>
    <cellStyle name="Dane wyjściowe 2 18 36 2" xfId="14406"/>
    <cellStyle name="Dane wyjściowe 2 18 36 3" xfId="14407"/>
    <cellStyle name="Dane wyjściowe 2 18 37" xfId="14408"/>
    <cellStyle name="Dane wyjściowe 2 18 37 2" xfId="14409"/>
    <cellStyle name="Dane wyjściowe 2 18 37 3" xfId="14410"/>
    <cellStyle name="Dane wyjściowe 2 18 38" xfId="14411"/>
    <cellStyle name="Dane wyjściowe 2 18 38 2" xfId="14412"/>
    <cellStyle name="Dane wyjściowe 2 18 38 3" xfId="14413"/>
    <cellStyle name="Dane wyjściowe 2 18 39" xfId="14414"/>
    <cellStyle name="Dane wyjściowe 2 18 39 2" xfId="14415"/>
    <cellStyle name="Dane wyjściowe 2 18 39 3" xfId="14416"/>
    <cellStyle name="Dane wyjściowe 2 18 4" xfId="14417"/>
    <cellStyle name="Dane wyjściowe 2 18 4 2" xfId="14418"/>
    <cellStyle name="Dane wyjściowe 2 18 4 3" xfId="14419"/>
    <cellStyle name="Dane wyjściowe 2 18 4 4" xfId="14420"/>
    <cellStyle name="Dane wyjściowe 2 18 40" xfId="14421"/>
    <cellStyle name="Dane wyjściowe 2 18 40 2" xfId="14422"/>
    <cellStyle name="Dane wyjściowe 2 18 40 3" xfId="14423"/>
    <cellStyle name="Dane wyjściowe 2 18 41" xfId="14424"/>
    <cellStyle name="Dane wyjściowe 2 18 41 2" xfId="14425"/>
    <cellStyle name="Dane wyjściowe 2 18 41 3" xfId="14426"/>
    <cellStyle name="Dane wyjściowe 2 18 42" xfId="14427"/>
    <cellStyle name="Dane wyjściowe 2 18 42 2" xfId="14428"/>
    <cellStyle name="Dane wyjściowe 2 18 42 3" xfId="14429"/>
    <cellStyle name="Dane wyjściowe 2 18 43" xfId="14430"/>
    <cellStyle name="Dane wyjściowe 2 18 43 2" xfId="14431"/>
    <cellStyle name="Dane wyjściowe 2 18 43 3" xfId="14432"/>
    <cellStyle name="Dane wyjściowe 2 18 44" xfId="14433"/>
    <cellStyle name="Dane wyjściowe 2 18 44 2" xfId="14434"/>
    <cellStyle name="Dane wyjściowe 2 18 44 3" xfId="14435"/>
    <cellStyle name="Dane wyjściowe 2 18 45" xfId="14436"/>
    <cellStyle name="Dane wyjściowe 2 18 45 2" xfId="14437"/>
    <cellStyle name="Dane wyjściowe 2 18 45 3" xfId="14438"/>
    <cellStyle name="Dane wyjściowe 2 18 46" xfId="14439"/>
    <cellStyle name="Dane wyjściowe 2 18 46 2" xfId="14440"/>
    <cellStyle name="Dane wyjściowe 2 18 46 3" xfId="14441"/>
    <cellStyle name="Dane wyjściowe 2 18 47" xfId="14442"/>
    <cellStyle name="Dane wyjściowe 2 18 47 2" xfId="14443"/>
    <cellStyle name="Dane wyjściowe 2 18 47 3" xfId="14444"/>
    <cellStyle name="Dane wyjściowe 2 18 48" xfId="14445"/>
    <cellStyle name="Dane wyjściowe 2 18 48 2" xfId="14446"/>
    <cellStyle name="Dane wyjściowe 2 18 48 3" xfId="14447"/>
    <cellStyle name="Dane wyjściowe 2 18 49" xfId="14448"/>
    <cellStyle name="Dane wyjściowe 2 18 49 2" xfId="14449"/>
    <cellStyle name="Dane wyjściowe 2 18 49 3" xfId="14450"/>
    <cellStyle name="Dane wyjściowe 2 18 5" xfId="14451"/>
    <cellStyle name="Dane wyjściowe 2 18 5 2" xfId="14452"/>
    <cellStyle name="Dane wyjściowe 2 18 5 3" xfId="14453"/>
    <cellStyle name="Dane wyjściowe 2 18 5 4" xfId="14454"/>
    <cellStyle name="Dane wyjściowe 2 18 50" xfId="14455"/>
    <cellStyle name="Dane wyjściowe 2 18 50 2" xfId="14456"/>
    <cellStyle name="Dane wyjściowe 2 18 50 3" xfId="14457"/>
    <cellStyle name="Dane wyjściowe 2 18 51" xfId="14458"/>
    <cellStyle name="Dane wyjściowe 2 18 51 2" xfId="14459"/>
    <cellStyle name="Dane wyjściowe 2 18 51 3" xfId="14460"/>
    <cellStyle name="Dane wyjściowe 2 18 52" xfId="14461"/>
    <cellStyle name="Dane wyjściowe 2 18 52 2" xfId="14462"/>
    <cellStyle name="Dane wyjściowe 2 18 52 3" xfId="14463"/>
    <cellStyle name="Dane wyjściowe 2 18 53" xfId="14464"/>
    <cellStyle name="Dane wyjściowe 2 18 53 2" xfId="14465"/>
    <cellStyle name="Dane wyjściowe 2 18 53 3" xfId="14466"/>
    <cellStyle name="Dane wyjściowe 2 18 54" xfId="14467"/>
    <cellStyle name="Dane wyjściowe 2 18 54 2" xfId="14468"/>
    <cellStyle name="Dane wyjściowe 2 18 54 3" xfId="14469"/>
    <cellStyle name="Dane wyjściowe 2 18 55" xfId="14470"/>
    <cellStyle name="Dane wyjściowe 2 18 55 2" xfId="14471"/>
    <cellStyle name="Dane wyjściowe 2 18 55 3" xfId="14472"/>
    <cellStyle name="Dane wyjściowe 2 18 56" xfId="14473"/>
    <cellStyle name="Dane wyjściowe 2 18 56 2" xfId="14474"/>
    <cellStyle name="Dane wyjściowe 2 18 56 3" xfId="14475"/>
    <cellStyle name="Dane wyjściowe 2 18 57" xfId="14476"/>
    <cellStyle name="Dane wyjściowe 2 18 58" xfId="14477"/>
    <cellStyle name="Dane wyjściowe 2 18 6" xfId="14478"/>
    <cellStyle name="Dane wyjściowe 2 18 6 2" xfId="14479"/>
    <cellStyle name="Dane wyjściowe 2 18 6 3" xfId="14480"/>
    <cellStyle name="Dane wyjściowe 2 18 6 4" xfId="14481"/>
    <cellStyle name="Dane wyjściowe 2 18 7" xfId="14482"/>
    <cellStyle name="Dane wyjściowe 2 18 7 2" xfId="14483"/>
    <cellStyle name="Dane wyjściowe 2 18 7 3" xfId="14484"/>
    <cellStyle name="Dane wyjściowe 2 18 7 4" xfId="14485"/>
    <cellStyle name="Dane wyjściowe 2 18 8" xfId="14486"/>
    <cellStyle name="Dane wyjściowe 2 18 8 2" xfId="14487"/>
    <cellStyle name="Dane wyjściowe 2 18 8 3" xfId="14488"/>
    <cellStyle name="Dane wyjściowe 2 18 8 4" xfId="14489"/>
    <cellStyle name="Dane wyjściowe 2 18 9" xfId="14490"/>
    <cellStyle name="Dane wyjściowe 2 18 9 2" xfId="14491"/>
    <cellStyle name="Dane wyjściowe 2 18 9 3" xfId="14492"/>
    <cellStyle name="Dane wyjściowe 2 18 9 4" xfId="14493"/>
    <cellStyle name="Dane wyjściowe 2 19" xfId="14494"/>
    <cellStyle name="Dane wyjściowe 2 19 10" xfId="14495"/>
    <cellStyle name="Dane wyjściowe 2 19 10 2" xfId="14496"/>
    <cellStyle name="Dane wyjściowe 2 19 10 3" xfId="14497"/>
    <cellStyle name="Dane wyjściowe 2 19 10 4" xfId="14498"/>
    <cellStyle name="Dane wyjściowe 2 19 11" xfId="14499"/>
    <cellStyle name="Dane wyjściowe 2 19 11 2" xfId="14500"/>
    <cellStyle name="Dane wyjściowe 2 19 11 3" xfId="14501"/>
    <cellStyle name="Dane wyjściowe 2 19 11 4" xfId="14502"/>
    <cellStyle name="Dane wyjściowe 2 19 12" xfId="14503"/>
    <cellStyle name="Dane wyjściowe 2 19 12 2" xfId="14504"/>
    <cellStyle name="Dane wyjściowe 2 19 12 3" xfId="14505"/>
    <cellStyle name="Dane wyjściowe 2 19 12 4" xfId="14506"/>
    <cellStyle name="Dane wyjściowe 2 19 13" xfId="14507"/>
    <cellStyle name="Dane wyjściowe 2 19 13 2" xfId="14508"/>
    <cellStyle name="Dane wyjściowe 2 19 13 3" xfId="14509"/>
    <cellStyle name="Dane wyjściowe 2 19 13 4" xfId="14510"/>
    <cellStyle name="Dane wyjściowe 2 19 14" xfId="14511"/>
    <cellStyle name="Dane wyjściowe 2 19 14 2" xfId="14512"/>
    <cellStyle name="Dane wyjściowe 2 19 14 3" xfId="14513"/>
    <cellStyle name="Dane wyjściowe 2 19 14 4" xfId="14514"/>
    <cellStyle name="Dane wyjściowe 2 19 15" xfId="14515"/>
    <cellStyle name="Dane wyjściowe 2 19 15 2" xfId="14516"/>
    <cellStyle name="Dane wyjściowe 2 19 15 3" xfId="14517"/>
    <cellStyle name="Dane wyjściowe 2 19 15 4" xfId="14518"/>
    <cellStyle name="Dane wyjściowe 2 19 16" xfId="14519"/>
    <cellStyle name="Dane wyjściowe 2 19 16 2" xfId="14520"/>
    <cellStyle name="Dane wyjściowe 2 19 16 3" xfId="14521"/>
    <cellStyle name="Dane wyjściowe 2 19 16 4" xfId="14522"/>
    <cellStyle name="Dane wyjściowe 2 19 17" xfId="14523"/>
    <cellStyle name="Dane wyjściowe 2 19 17 2" xfId="14524"/>
    <cellStyle name="Dane wyjściowe 2 19 17 3" xfId="14525"/>
    <cellStyle name="Dane wyjściowe 2 19 17 4" xfId="14526"/>
    <cellStyle name="Dane wyjściowe 2 19 18" xfId="14527"/>
    <cellStyle name="Dane wyjściowe 2 19 18 2" xfId="14528"/>
    <cellStyle name="Dane wyjściowe 2 19 18 3" xfId="14529"/>
    <cellStyle name="Dane wyjściowe 2 19 18 4" xfId="14530"/>
    <cellStyle name="Dane wyjściowe 2 19 19" xfId="14531"/>
    <cellStyle name="Dane wyjściowe 2 19 19 2" xfId="14532"/>
    <cellStyle name="Dane wyjściowe 2 19 19 3" xfId="14533"/>
    <cellStyle name="Dane wyjściowe 2 19 19 4" xfId="14534"/>
    <cellStyle name="Dane wyjściowe 2 19 2" xfId="14535"/>
    <cellStyle name="Dane wyjściowe 2 19 2 2" xfId="14536"/>
    <cellStyle name="Dane wyjściowe 2 19 2 3" xfId="14537"/>
    <cellStyle name="Dane wyjściowe 2 19 2 4" xfId="14538"/>
    <cellStyle name="Dane wyjściowe 2 19 20" xfId="14539"/>
    <cellStyle name="Dane wyjściowe 2 19 20 2" xfId="14540"/>
    <cellStyle name="Dane wyjściowe 2 19 20 3" xfId="14541"/>
    <cellStyle name="Dane wyjściowe 2 19 20 4" xfId="14542"/>
    <cellStyle name="Dane wyjściowe 2 19 21" xfId="14543"/>
    <cellStyle name="Dane wyjściowe 2 19 21 2" xfId="14544"/>
    <cellStyle name="Dane wyjściowe 2 19 21 3" xfId="14545"/>
    <cellStyle name="Dane wyjściowe 2 19 22" xfId="14546"/>
    <cellStyle name="Dane wyjściowe 2 19 22 2" xfId="14547"/>
    <cellStyle name="Dane wyjściowe 2 19 22 3" xfId="14548"/>
    <cellStyle name="Dane wyjściowe 2 19 23" xfId="14549"/>
    <cellStyle name="Dane wyjściowe 2 19 23 2" xfId="14550"/>
    <cellStyle name="Dane wyjściowe 2 19 23 3" xfId="14551"/>
    <cellStyle name="Dane wyjściowe 2 19 24" xfId="14552"/>
    <cellStyle name="Dane wyjściowe 2 19 24 2" xfId="14553"/>
    <cellStyle name="Dane wyjściowe 2 19 24 3" xfId="14554"/>
    <cellStyle name="Dane wyjściowe 2 19 25" xfId="14555"/>
    <cellStyle name="Dane wyjściowe 2 19 25 2" xfId="14556"/>
    <cellStyle name="Dane wyjściowe 2 19 25 3" xfId="14557"/>
    <cellStyle name="Dane wyjściowe 2 19 26" xfId="14558"/>
    <cellStyle name="Dane wyjściowe 2 19 26 2" xfId="14559"/>
    <cellStyle name="Dane wyjściowe 2 19 26 3" xfId="14560"/>
    <cellStyle name="Dane wyjściowe 2 19 27" xfId="14561"/>
    <cellStyle name="Dane wyjściowe 2 19 27 2" xfId="14562"/>
    <cellStyle name="Dane wyjściowe 2 19 27 3" xfId="14563"/>
    <cellStyle name="Dane wyjściowe 2 19 28" xfId="14564"/>
    <cellStyle name="Dane wyjściowe 2 19 28 2" xfId="14565"/>
    <cellStyle name="Dane wyjściowe 2 19 28 3" xfId="14566"/>
    <cellStyle name="Dane wyjściowe 2 19 29" xfId="14567"/>
    <cellStyle name="Dane wyjściowe 2 19 29 2" xfId="14568"/>
    <cellStyle name="Dane wyjściowe 2 19 29 3" xfId="14569"/>
    <cellStyle name="Dane wyjściowe 2 19 3" xfId="14570"/>
    <cellStyle name="Dane wyjściowe 2 19 3 2" xfId="14571"/>
    <cellStyle name="Dane wyjściowe 2 19 3 3" xfId="14572"/>
    <cellStyle name="Dane wyjściowe 2 19 3 4" xfId="14573"/>
    <cellStyle name="Dane wyjściowe 2 19 30" xfId="14574"/>
    <cellStyle name="Dane wyjściowe 2 19 30 2" xfId="14575"/>
    <cellStyle name="Dane wyjściowe 2 19 30 3" xfId="14576"/>
    <cellStyle name="Dane wyjściowe 2 19 31" xfId="14577"/>
    <cellStyle name="Dane wyjściowe 2 19 31 2" xfId="14578"/>
    <cellStyle name="Dane wyjściowe 2 19 31 3" xfId="14579"/>
    <cellStyle name="Dane wyjściowe 2 19 32" xfId="14580"/>
    <cellStyle name="Dane wyjściowe 2 19 32 2" xfId="14581"/>
    <cellStyle name="Dane wyjściowe 2 19 32 3" xfId="14582"/>
    <cellStyle name="Dane wyjściowe 2 19 33" xfId="14583"/>
    <cellStyle name="Dane wyjściowe 2 19 33 2" xfId="14584"/>
    <cellStyle name="Dane wyjściowe 2 19 33 3" xfId="14585"/>
    <cellStyle name="Dane wyjściowe 2 19 34" xfId="14586"/>
    <cellStyle name="Dane wyjściowe 2 19 34 2" xfId="14587"/>
    <cellStyle name="Dane wyjściowe 2 19 34 3" xfId="14588"/>
    <cellStyle name="Dane wyjściowe 2 19 35" xfId="14589"/>
    <cellStyle name="Dane wyjściowe 2 19 35 2" xfId="14590"/>
    <cellStyle name="Dane wyjściowe 2 19 35 3" xfId="14591"/>
    <cellStyle name="Dane wyjściowe 2 19 36" xfId="14592"/>
    <cellStyle name="Dane wyjściowe 2 19 36 2" xfId="14593"/>
    <cellStyle name="Dane wyjściowe 2 19 36 3" xfId="14594"/>
    <cellStyle name="Dane wyjściowe 2 19 37" xfId="14595"/>
    <cellStyle name="Dane wyjściowe 2 19 37 2" xfId="14596"/>
    <cellStyle name="Dane wyjściowe 2 19 37 3" xfId="14597"/>
    <cellStyle name="Dane wyjściowe 2 19 38" xfId="14598"/>
    <cellStyle name="Dane wyjściowe 2 19 38 2" xfId="14599"/>
    <cellStyle name="Dane wyjściowe 2 19 38 3" xfId="14600"/>
    <cellStyle name="Dane wyjściowe 2 19 39" xfId="14601"/>
    <cellStyle name="Dane wyjściowe 2 19 39 2" xfId="14602"/>
    <cellStyle name="Dane wyjściowe 2 19 39 3" xfId="14603"/>
    <cellStyle name="Dane wyjściowe 2 19 4" xfId="14604"/>
    <cellStyle name="Dane wyjściowe 2 19 4 2" xfId="14605"/>
    <cellStyle name="Dane wyjściowe 2 19 4 3" xfId="14606"/>
    <cellStyle name="Dane wyjściowe 2 19 4 4" xfId="14607"/>
    <cellStyle name="Dane wyjściowe 2 19 40" xfId="14608"/>
    <cellStyle name="Dane wyjściowe 2 19 40 2" xfId="14609"/>
    <cellStyle name="Dane wyjściowe 2 19 40 3" xfId="14610"/>
    <cellStyle name="Dane wyjściowe 2 19 41" xfId="14611"/>
    <cellStyle name="Dane wyjściowe 2 19 41 2" xfId="14612"/>
    <cellStyle name="Dane wyjściowe 2 19 41 3" xfId="14613"/>
    <cellStyle name="Dane wyjściowe 2 19 42" xfId="14614"/>
    <cellStyle name="Dane wyjściowe 2 19 42 2" xfId="14615"/>
    <cellStyle name="Dane wyjściowe 2 19 42 3" xfId="14616"/>
    <cellStyle name="Dane wyjściowe 2 19 43" xfId="14617"/>
    <cellStyle name="Dane wyjściowe 2 19 43 2" xfId="14618"/>
    <cellStyle name="Dane wyjściowe 2 19 43 3" xfId="14619"/>
    <cellStyle name="Dane wyjściowe 2 19 44" xfId="14620"/>
    <cellStyle name="Dane wyjściowe 2 19 44 2" xfId="14621"/>
    <cellStyle name="Dane wyjściowe 2 19 44 3" xfId="14622"/>
    <cellStyle name="Dane wyjściowe 2 19 45" xfId="14623"/>
    <cellStyle name="Dane wyjściowe 2 19 45 2" xfId="14624"/>
    <cellStyle name="Dane wyjściowe 2 19 45 3" xfId="14625"/>
    <cellStyle name="Dane wyjściowe 2 19 46" xfId="14626"/>
    <cellStyle name="Dane wyjściowe 2 19 46 2" xfId="14627"/>
    <cellStyle name="Dane wyjściowe 2 19 46 3" xfId="14628"/>
    <cellStyle name="Dane wyjściowe 2 19 47" xfId="14629"/>
    <cellStyle name="Dane wyjściowe 2 19 47 2" xfId="14630"/>
    <cellStyle name="Dane wyjściowe 2 19 47 3" xfId="14631"/>
    <cellStyle name="Dane wyjściowe 2 19 48" xfId="14632"/>
    <cellStyle name="Dane wyjściowe 2 19 48 2" xfId="14633"/>
    <cellStyle name="Dane wyjściowe 2 19 48 3" xfId="14634"/>
    <cellStyle name="Dane wyjściowe 2 19 49" xfId="14635"/>
    <cellStyle name="Dane wyjściowe 2 19 49 2" xfId="14636"/>
    <cellStyle name="Dane wyjściowe 2 19 49 3" xfId="14637"/>
    <cellStyle name="Dane wyjściowe 2 19 5" xfId="14638"/>
    <cellStyle name="Dane wyjściowe 2 19 5 2" xfId="14639"/>
    <cellStyle name="Dane wyjściowe 2 19 5 3" xfId="14640"/>
    <cellStyle name="Dane wyjściowe 2 19 5 4" xfId="14641"/>
    <cellStyle name="Dane wyjściowe 2 19 50" xfId="14642"/>
    <cellStyle name="Dane wyjściowe 2 19 50 2" xfId="14643"/>
    <cellStyle name="Dane wyjściowe 2 19 50 3" xfId="14644"/>
    <cellStyle name="Dane wyjściowe 2 19 51" xfId="14645"/>
    <cellStyle name="Dane wyjściowe 2 19 51 2" xfId="14646"/>
    <cellStyle name="Dane wyjściowe 2 19 51 3" xfId="14647"/>
    <cellStyle name="Dane wyjściowe 2 19 52" xfId="14648"/>
    <cellStyle name="Dane wyjściowe 2 19 52 2" xfId="14649"/>
    <cellStyle name="Dane wyjściowe 2 19 52 3" xfId="14650"/>
    <cellStyle name="Dane wyjściowe 2 19 53" xfId="14651"/>
    <cellStyle name="Dane wyjściowe 2 19 53 2" xfId="14652"/>
    <cellStyle name="Dane wyjściowe 2 19 53 3" xfId="14653"/>
    <cellStyle name="Dane wyjściowe 2 19 54" xfId="14654"/>
    <cellStyle name="Dane wyjściowe 2 19 54 2" xfId="14655"/>
    <cellStyle name="Dane wyjściowe 2 19 54 3" xfId="14656"/>
    <cellStyle name="Dane wyjściowe 2 19 55" xfId="14657"/>
    <cellStyle name="Dane wyjściowe 2 19 55 2" xfId="14658"/>
    <cellStyle name="Dane wyjściowe 2 19 55 3" xfId="14659"/>
    <cellStyle name="Dane wyjściowe 2 19 56" xfId="14660"/>
    <cellStyle name="Dane wyjściowe 2 19 56 2" xfId="14661"/>
    <cellStyle name="Dane wyjściowe 2 19 56 3" xfId="14662"/>
    <cellStyle name="Dane wyjściowe 2 19 57" xfId="14663"/>
    <cellStyle name="Dane wyjściowe 2 19 58" xfId="14664"/>
    <cellStyle name="Dane wyjściowe 2 19 6" xfId="14665"/>
    <cellStyle name="Dane wyjściowe 2 19 6 2" xfId="14666"/>
    <cellStyle name="Dane wyjściowe 2 19 6 3" xfId="14667"/>
    <cellStyle name="Dane wyjściowe 2 19 6 4" xfId="14668"/>
    <cellStyle name="Dane wyjściowe 2 19 7" xfId="14669"/>
    <cellStyle name="Dane wyjściowe 2 19 7 2" xfId="14670"/>
    <cellStyle name="Dane wyjściowe 2 19 7 3" xfId="14671"/>
    <cellStyle name="Dane wyjściowe 2 19 7 4" xfId="14672"/>
    <cellStyle name="Dane wyjściowe 2 19 8" xfId="14673"/>
    <cellStyle name="Dane wyjściowe 2 19 8 2" xfId="14674"/>
    <cellStyle name="Dane wyjściowe 2 19 8 3" xfId="14675"/>
    <cellStyle name="Dane wyjściowe 2 19 8 4" xfId="14676"/>
    <cellStyle name="Dane wyjściowe 2 19 9" xfId="14677"/>
    <cellStyle name="Dane wyjściowe 2 19 9 2" xfId="14678"/>
    <cellStyle name="Dane wyjściowe 2 19 9 3" xfId="14679"/>
    <cellStyle name="Dane wyjściowe 2 19 9 4" xfId="14680"/>
    <cellStyle name="Dane wyjściowe 2 2" xfId="14681"/>
    <cellStyle name="Dane wyjściowe 2 2 10" xfId="14682"/>
    <cellStyle name="Dane wyjściowe 2 2 10 2" xfId="14683"/>
    <cellStyle name="Dane wyjściowe 2 2 10 3" xfId="14684"/>
    <cellStyle name="Dane wyjściowe 2 2 10 4" xfId="14685"/>
    <cellStyle name="Dane wyjściowe 2 2 11" xfId="14686"/>
    <cellStyle name="Dane wyjściowe 2 2 11 2" xfId="14687"/>
    <cellStyle name="Dane wyjściowe 2 2 11 3" xfId="14688"/>
    <cellStyle name="Dane wyjściowe 2 2 11 4" xfId="14689"/>
    <cellStyle name="Dane wyjściowe 2 2 12" xfId="14690"/>
    <cellStyle name="Dane wyjściowe 2 2 12 2" xfId="14691"/>
    <cellStyle name="Dane wyjściowe 2 2 12 3" xfId="14692"/>
    <cellStyle name="Dane wyjściowe 2 2 12 4" xfId="14693"/>
    <cellStyle name="Dane wyjściowe 2 2 13" xfId="14694"/>
    <cellStyle name="Dane wyjściowe 2 2 13 2" xfId="14695"/>
    <cellStyle name="Dane wyjściowe 2 2 13 3" xfId="14696"/>
    <cellStyle name="Dane wyjściowe 2 2 13 4" xfId="14697"/>
    <cellStyle name="Dane wyjściowe 2 2 14" xfId="14698"/>
    <cellStyle name="Dane wyjściowe 2 2 14 2" xfId="14699"/>
    <cellStyle name="Dane wyjściowe 2 2 14 3" xfId="14700"/>
    <cellStyle name="Dane wyjściowe 2 2 14 4" xfId="14701"/>
    <cellStyle name="Dane wyjściowe 2 2 15" xfId="14702"/>
    <cellStyle name="Dane wyjściowe 2 2 15 2" xfId="14703"/>
    <cellStyle name="Dane wyjściowe 2 2 15 3" xfId="14704"/>
    <cellStyle name="Dane wyjściowe 2 2 15 4" xfId="14705"/>
    <cellStyle name="Dane wyjściowe 2 2 16" xfId="14706"/>
    <cellStyle name="Dane wyjściowe 2 2 16 2" xfId="14707"/>
    <cellStyle name="Dane wyjściowe 2 2 16 3" xfId="14708"/>
    <cellStyle name="Dane wyjściowe 2 2 16 4" xfId="14709"/>
    <cellStyle name="Dane wyjściowe 2 2 17" xfId="14710"/>
    <cellStyle name="Dane wyjściowe 2 2 17 2" xfId="14711"/>
    <cellStyle name="Dane wyjściowe 2 2 17 3" xfId="14712"/>
    <cellStyle name="Dane wyjściowe 2 2 17 4" xfId="14713"/>
    <cellStyle name="Dane wyjściowe 2 2 18" xfId="14714"/>
    <cellStyle name="Dane wyjściowe 2 2 18 2" xfId="14715"/>
    <cellStyle name="Dane wyjściowe 2 2 18 3" xfId="14716"/>
    <cellStyle name="Dane wyjściowe 2 2 18 4" xfId="14717"/>
    <cellStyle name="Dane wyjściowe 2 2 19" xfId="14718"/>
    <cellStyle name="Dane wyjściowe 2 2 19 2" xfId="14719"/>
    <cellStyle name="Dane wyjściowe 2 2 19 3" xfId="14720"/>
    <cellStyle name="Dane wyjściowe 2 2 19 4" xfId="14721"/>
    <cellStyle name="Dane wyjściowe 2 2 2" xfId="14722"/>
    <cellStyle name="Dane wyjściowe 2 2 2 2" xfId="14723"/>
    <cellStyle name="Dane wyjściowe 2 2 2 3" xfId="14724"/>
    <cellStyle name="Dane wyjściowe 2 2 2 4" xfId="14725"/>
    <cellStyle name="Dane wyjściowe 2 2 20" xfId="14726"/>
    <cellStyle name="Dane wyjściowe 2 2 20 2" xfId="14727"/>
    <cellStyle name="Dane wyjściowe 2 2 20 3" xfId="14728"/>
    <cellStyle name="Dane wyjściowe 2 2 20 4" xfId="14729"/>
    <cellStyle name="Dane wyjściowe 2 2 21" xfId="14730"/>
    <cellStyle name="Dane wyjściowe 2 2 21 2" xfId="14731"/>
    <cellStyle name="Dane wyjściowe 2 2 21 3" xfId="14732"/>
    <cellStyle name="Dane wyjściowe 2 2 22" xfId="14733"/>
    <cellStyle name="Dane wyjściowe 2 2 22 2" xfId="14734"/>
    <cellStyle name="Dane wyjściowe 2 2 22 3" xfId="14735"/>
    <cellStyle name="Dane wyjściowe 2 2 23" xfId="14736"/>
    <cellStyle name="Dane wyjściowe 2 2 23 2" xfId="14737"/>
    <cellStyle name="Dane wyjściowe 2 2 23 3" xfId="14738"/>
    <cellStyle name="Dane wyjściowe 2 2 24" xfId="14739"/>
    <cellStyle name="Dane wyjściowe 2 2 24 2" xfId="14740"/>
    <cellStyle name="Dane wyjściowe 2 2 24 3" xfId="14741"/>
    <cellStyle name="Dane wyjściowe 2 2 25" xfId="14742"/>
    <cellStyle name="Dane wyjściowe 2 2 25 2" xfId="14743"/>
    <cellStyle name="Dane wyjściowe 2 2 25 3" xfId="14744"/>
    <cellStyle name="Dane wyjściowe 2 2 26" xfId="14745"/>
    <cellStyle name="Dane wyjściowe 2 2 26 2" xfId="14746"/>
    <cellStyle name="Dane wyjściowe 2 2 26 3" xfId="14747"/>
    <cellStyle name="Dane wyjściowe 2 2 27" xfId="14748"/>
    <cellStyle name="Dane wyjściowe 2 2 27 2" xfId="14749"/>
    <cellStyle name="Dane wyjściowe 2 2 27 3" xfId="14750"/>
    <cellStyle name="Dane wyjściowe 2 2 28" xfId="14751"/>
    <cellStyle name="Dane wyjściowe 2 2 28 2" xfId="14752"/>
    <cellStyle name="Dane wyjściowe 2 2 28 3" xfId="14753"/>
    <cellStyle name="Dane wyjściowe 2 2 29" xfId="14754"/>
    <cellStyle name="Dane wyjściowe 2 2 29 2" xfId="14755"/>
    <cellStyle name="Dane wyjściowe 2 2 29 3" xfId="14756"/>
    <cellStyle name="Dane wyjściowe 2 2 3" xfId="14757"/>
    <cellStyle name="Dane wyjściowe 2 2 3 2" xfId="14758"/>
    <cellStyle name="Dane wyjściowe 2 2 3 3" xfId="14759"/>
    <cellStyle name="Dane wyjściowe 2 2 3 4" xfId="14760"/>
    <cellStyle name="Dane wyjściowe 2 2 30" xfId="14761"/>
    <cellStyle name="Dane wyjściowe 2 2 30 2" xfId="14762"/>
    <cellStyle name="Dane wyjściowe 2 2 30 3" xfId="14763"/>
    <cellStyle name="Dane wyjściowe 2 2 31" xfId="14764"/>
    <cellStyle name="Dane wyjściowe 2 2 31 2" xfId="14765"/>
    <cellStyle name="Dane wyjściowe 2 2 31 3" xfId="14766"/>
    <cellStyle name="Dane wyjściowe 2 2 32" xfId="14767"/>
    <cellStyle name="Dane wyjściowe 2 2 32 2" xfId="14768"/>
    <cellStyle name="Dane wyjściowe 2 2 32 3" xfId="14769"/>
    <cellStyle name="Dane wyjściowe 2 2 33" xfId="14770"/>
    <cellStyle name="Dane wyjściowe 2 2 33 2" xfId="14771"/>
    <cellStyle name="Dane wyjściowe 2 2 33 3" xfId="14772"/>
    <cellStyle name="Dane wyjściowe 2 2 34" xfId="14773"/>
    <cellStyle name="Dane wyjściowe 2 2 34 2" xfId="14774"/>
    <cellStyle name="Dane wyjściowe 2 2 34 3" xfId="14775"/>
    <cellStyle name="Dane wyjściowe 2 2 35" xfId="14776"/>
    <cellStyle name="Dane wyjściowe 2 2 35 2" xfId="14777"/>
    <cellStyle name="Dane wyjściowe 2 2 35 3" xfId="14778"/>
    <cellStyle name="Dane wyjściowe 2 2 36" xfId="14779"/>
    <cellStyle name="Dane wyjściowe 2 2 36 2" xfId="14780"/>
    <cellStyle name="Dane wyjściowe 2 2 36 3" xfId="14781"/>
    <cellStyle name="Dane wyjściowe 2 2 37" xfId="14782"/>
    <cellStyle name="Dane wyjściowe 2 2 37 2" xfId="14783"/>
    <cellStyle name="Dane wyjściowe 2 2 37 3" xfId="14784"/>
    <cellStyle name="Dane wyjściowe 2 2 38" xfId="14785"/>
    <cellStyle name="Dane wyjściowe 2 2 38 2" xfId="14786"/>
    <cellStyle name="Dane wyjściowe 2 2 38 3" xfId="14787"/>
    <cellStyle name="Dane wyjściowe 2 2 39" xfId="14788"/>
    <cellStyle name="Dane wyjściowe 2 2 39 2" xfId="14789"/>
    <cellStyle name="Dane wyjściowe 2 2 39 3" xfId="14790"/>
    <cellStyle name="Dane wyjściowe 2 2 4" xfId="14791"/>
    <cellStyle name="Dane wyjściowe 2 2 4 2" xfId="14792"/>
    <cellStyle name="Dane wyjściowe 2 2 4 3" xfId="14793"/>
    <cellStyle name="Dane wyjściowe 2 2 4 4" xfId="14794"/>
    <cellStyle name="Dane wyjściowe 2 2 40" xfId="14795"/>
    <cellStyle name="Dane wyjściowe 2 2 40 2" xfId="14796"/>
    <cellStyle name="Dane wyjściowe 2 2 40 3" xfId="14797"/>
    <cellStyle name="Dane wyjściowe 2 2 41" xfId="14798"/>
    <cellStyle name="Dane wyjściowe 2 2 41 2" xfId="14799"/>
    <cellStyle name="Dane wyjściowe 2 2 41 3" xfId="14800"/>
    <cellStyle name="Dane wyjściowe 2 2 42" xfId="14801"/>
    <cellStyle name="Dane wyjściowe 2 2 42 2" xfId="14802"/>
    <cellStyle name="Dane wyjściowe 2 2 42 3" xfId="14803"/>
    <cellStyle name="Dane wyjściowe 2 2 43" xfId="14804"/>
    <cellStyle name="Dane wyjściowe 2 2 43 2" xfId="14805"/>
    <cellStyle name="Dane wyjściowe 2 2 43 3" xfId="14806"/>
    <cellStyle name="Dane wyjściowe 2 2 44" xfId="14807"/>
    <cellStyle name="Dane wyjściowe 2 2 44 2" xfId="14808"/>
    <cellStyle name="Dane wyjściowe 2 2 44 3" xfId="14809"/>
    <cellStyle name="Dane wyjściowe 2 2 45" xfId="14810"/>
    <cellStyle name="Dane wyjściowe 2 2 45 2" xfId="14811"/>
    <cellStyle name="Dane wyjściowe 2 2 45 3" xfId="14812"/>
    <cellStyle name="Dane wyjściowe 2 2 46" xfId="14813"/>
    <cellStyle name="Dane wyjściowe 2 2 46 2" xfId="14814"/>
    <cellStyle name="Dane wyjściowe 2 2 46 3" xfId="14815"/>
    <cellStyle name="Dane wyjściowe 2 2 47" xfId="14816"/>
    <cellStyle name="Dane wyjściowe 2 2 47 2" xfId="14817"/>
    <cellStyle name="Dane wyjściowe 2 2 47 3" xfId="14818"/>
    <cellStyle name="Dane wyjściowe 2 2 48" xfId="14819"/>
    <cellStyle name="Dane wyjściowe 2 2 48 2" xfId="14820"/>
    <cellStyle name="Dane wyjściowe 2 2 48 3" xfId="14821"/>
    <cellStyle name="Dane wyjściowe 2 2 49" xfId="14822"/>
    <cellStyle name="Dane wyjściowe 2 2 49 2" xfId="14823"/>
    <cellStyle name="Dane wyjściowe 2 2 49 3" xfId="14824"/>
    <cellStyle name="Dane wyjściowe 2 2 5" xfId="14825"/>
    <cellStyle name="Dane wyjściowe 2 2 5 2" xfId="14826"/>
    <cellStyle name="Dane wyjściowe 2 2 5 3" xfId="14827"/>
    <cellStyle name="Dane wyjściowe 2 2 5 4" xfId="14828"/>
    <cellStyle name="Dane wyjściowe 2 2 50" xfId="14829"/>
    <cellStyle name="Dane wyjściowe 2 2 50 2" xfId="14830"/>
    <cellStyle name="Dane wyjściowe 2 2 50 3" xfId="14831"/>
    <cellStyle name="Dane wyjściowe 2 2 51" xfId="14832"/>
    <cellStyle name="Dane wyjściowe 2 2 51 2" xfId="14833"/>
    <cellStyle name="Dane wyjściowe 2 2 51 3" xfId="14834"/>
    <cellStyle name="Dane wyjściowe 2 2 52" xfId="14835"/>
    <cellStyle name="Dane wyjściowe 2 2 52 2" xfId="14836"/>
    <cellStyle name="Dane wyjściowe 2 2 52 3" xfId="14837"/>
    <cellStyle name="Dane wyjściowe 2 2 53" xfId="14838"/>
    <cellStyle name="Dane wyjściowe 2 2 53 2" xfId="14839"/>
    <cellStyle name="Dane wyjściowe 2 2 53 3" xfId="14840"/>
    <cellStyle name="Dane wyjściowe 2 2 54" xfId="14841"/>
    <cellStyle name="Dane wyjściowe 2 2 54 2" xfId="14842"/>
    <cellStyle name="Dane wyjściowe 2 2 54 3" xfId="14843"/>
    <cellStyle name="Dane wyjściowe 2 2 55" xfId="14844"/>
    <cellStyle name="Dane wyjściowe 2 2 55 2" xfId="14845"/>
    <cellStyle name="Dane wyjściowe 2 2 55 3" xfId="14846"/>
    <cellStyle name="Dane wyjściowe 2 2 56" xfId="14847"/>
    <cellStyle name="Dane wyjściowe 2 2 56 2" xfId="14848"/>
    <cellStyle name="Dane wyjściowe 2 2 56 3" xfId="14849"/>
    <cellStyle name="Dane wyjściowe 2 2 57" xfId="14850"/>
    <cellStyle name="Dane wyjściowe 2 2 58" xfId="14851"/>
    <cellStyle name="Dane wyjściowe 2 2 59" xfId="14852"/>
    <cellStyle name="Dane wyjściowe 2 2 6" xfId="14853"/>
    <cellStyle name="Dane wyjściowe 2 2 6 2" xfId="14854"/>
    <cellStyle name="Dane wyjściowe 2 2 6 3" xfId="14855"/>
    <cellStyle name="Dane wyjściowe 2 2 6 4" xfId="14856"/>
    <cellStyle name="Dane wyjściowe 2 2 7" xfId="14857"/>
    <cellStyle name="Dane wyjściowe 2 2 7 2" xfId="14858"/>
    <cellStyle name="Dane wyjściowe 2 2 7 3" xfId="14859"/>
    <cellStyle name="Dane wyjściowe 2 2 7 4" xfId="14860"/>
    <cellStyle name="Dane wyjściowe 2 2 8" xfId="14861"/>
    <cellStyle name="Dane wyjściowe 2 2 8 2" xfId="14862"/>
    <cellStyle name="Dane wyjściowe 2 2 8 3" xfId="14863"/>
    <cellStyle name="Dane wyjściowe 2 2 8 4" xfId="14864"/>
    <cellStyle name="Dane wyjściowe 2 2 9" xfId="14865"/>
    <cellStyle name="Dane wyjściowe 2 2 9 2" xfId="14866"/>
    <cellStyle name="Dane wyjściowe 2 2 9 3" xfId="14867"/>
    <cellStyle name="Dane wyjściowe 2 2 9 4" xfId="14868"/>
    <cellStyle name="Dane wyjściowe 2 20" xfId="14869"/>
    <cellStyle name="Dane wyjściowe 2 20 10" xfId="14870"/>
    <cellStyle name="Dane wyjściowe 2 20 10 2" xfId="14871"/>
    <cellStyle name="Dane wyjściowe 2 20 10 3" xfId="14872"/>
    <cellStyle name="Dane wyjściowe 2 20 10 4" xfId="14873"/>
    <cellStyle name="Dane wyjściowe 2 20 11" xfId="14874"/>
    <cellStyle name="Dane wyjściowe 2 20 11 2" xfId="14875"/>
    <cellStyle name="Dane wyjściowe 2 20 11 3" xfId="14876"/>
    <cellStyle name="Dane wyjściowe 2 20 11 4" xfId="14877"/>
    <cellStyle name="Dane wyjściowe 2 20 12" xfId="14878"/>
    <cellStyle name="Dane wyjściowe 2 20 12 2" xfId="14879"/>
    <cellStyle name="Dane wyjściowe 2 20 12 3" xfId="14880"/>
    <cellStyle name="Dane wyjściowe 2 20 12 4" xfId="14881"/>
    <cellStyle name="Dane wyjściowe 2 20 13" xfId="14882"/>
    <cellStyle name="Dane wyjściowe 2 20 13 2" xfId="14883"/>
    <cellStyle name="Dane wyjściowe 2 20 13 3" xfId="14884"/>
    <cellStyle name="Dane wyjściowe 2 20 13 4" xfId="14885"/>
    <cellStyle name="Dane wyjściowe 2 20 14" xfId="14886"/>
    <cellStyle name="Dane wyjściowe 2 20 14 2" xfId="14887"/>
    <cellStyle name="Dane wyjściowe 2 20 14 3" xfId="14888"/>
    <cellStyle name="Dane wyjściowe 2 20 14 4" xfId="14889"/>
    <cellStyle name="Dane wyjściowe 2 20 15" xfId="14890"/>
    <cellStyle name="Dane wyjściowe 2 20 15 2" xfId="14891"/>
    <cellStyle name="Dane wyjściowe 2 20 15 3" xfId="14892"/>
    <cellStyle name="Dane wyjściowe 2 20 15 4" xfId="14893"/>
    <cellStyle name="Dane wyjściowe 2 20 16" xfId="14894"/>
    <cellStyle name="Dane wyjściowe 2 20 16 2" xfId="14895"/>
    <cellStyle name="Dane wyjściowe 2 20 16 3" xfId="14896"/>
    <cellStyle name="Dane wyjściowe 2 20 16 4" xfId="14897"/>
    <cellStyle name="Dane wyjściowe 2 20 17" xfId="14898"/>
    <cellStyle name="Dane wyjściowe 2 20 17 2" xfId="14899"/>
    <cellStyle name="Dane wyjściowe 2 20 17 3" xfId="14900"/>
    <cellStyle name="Dane wyjściowe 2 20 17 4" xfId="14901"/>
    <cellStyle name="Dane wyjściowe 2 20 18" xfId="14902"/>
    <cellStyle name="Dane wyjściowe 2 20 18 2" xfId="14903"/>
    <cellStyle name="Dane wyjściowe 2 20 18 3" xfId="14904"/>
    <cellStyle name="Dane wyjściowe 2 20 18 4" xfId="14905"/>
    <cellStyle name="Dane wyjściowe 2 20 19" xfId="14906"/>
    <cellStyle name="Dane wyjściowe 2 20 19 2" xfId="14907"/>
    <cellStyle name="Dane wyjściowe 2 20 19 3" xfId="14908"/>
    <cellStyle name="Dane wyjściowe 2 20 19 4" xfId="14909"/>
    <cellStyle name="Dane wyjściowe 2 20 2" xfId="14910"/>
    <cellStyle name="Dane wyjściowe 2 20 2 2" xfId="14911"/>
    <cellStyle name="Dane wyjściowe 2 20 2 3" xfId="14912"/>
    <cellStyle name="Dane wyjściowe 2 20 2 4" xfId="14913"/>
    <cellStyle name="Dane wyjściowe 2 20 20" xfId="14914"/>
    <cellStyle name="Dane wyjściowe 2 20 20 2" xfId="14915"/>
    <cellStyle name="Dane wyjściowe 2 20 20 3" xfId="14916"/>
    <cellStyle name="Dane wyjściowe 2 20 20 4" xfId="14917"/>
    <cellStyle name="Dane wyjściowe 2 20 21" xfId="14918"/>
    <cellStyle name="Dane wyjściowe 2 20 21 2" xfId="14919"/>
    <cellStyle name="Dane wyjściowe 2 20 21 3" xfId="14920"/>
    <cellStyle name="Dane wyjściowe 2 20 22" xfId="14921"/>
    <cellStyle name="Dane wyjściowe 2 20 22 2" xfId="14922"/>
    <cellStyle name="Dane wyjściowe 2 20 22 3" xfId="14923"/>
    <cellStyle name="Dane wyjściowe 2 20 23" xfId="14924"/>
    <cellStyle name="Dane wyjściowe 2 20 23 2" xfId="14925"/>
    <cellStyle name="Dane wyjściowe 2 20 23 3" xfId="14926"/>
    <cellStyle name="Dane wyjściowe 2 20 24" xfId="14927"/>
    <cellStyle name="Dane wyjściowe 2 20 24 2" xfId="14928"/>
    <cellStyle name="Dane wyjściowe 2 20 24 3" xfId="14929"/>
    <cellStyle name="Dane wyjściowe 2 20 25" xfId="14930"/>
    <cellStyle name="Dane wyjściowe 2 20 25 2" xfId="14931"/>
    <cellStyle name="Dane wyjściowe 2 20 25 3" xfId="14932"/>
    <cellStyle name="Dane wyjściowe 2 20 26" xfId="14933"/>
    <cellStyle name="Dane wyjściowe 2 20 26 2" xfId="14934"/>
    <cellStyle name="Dane wyjściowe 2 20 26 3" xfId="14935"/>
    <cellStyle name="Dane wyjściowe 2 20 27" xfId="14936"/>
    <cellStyle name="Dane wyjściowe 2 20 27 2" xfId="14937"/>
    <cellStyle name="Dane wyjściowe 2 20 27 3" xfId="14938"/>
    <cellStyle name="Dane wyjściowe 2 20 28" xfId="14939"/>
    <cellStyle name="Dane wyjściowe 2 20 28 2" xfId="14940"/>
    <cellStyle name="Dane wyjściowe 2 20 28 3" xfId="14941"/>
    <cellStyle name="Dane wyjściowe 2 20 29" xfId="14942"/>
    <cellStyle name="Dane wyjściowe 2 20 29 2" xfId="14943"/>
    <cellStyle name="Dane wyjściowe 2 20 29 3" xfId="14944"/>
    <cellStyle name="Dane wyjściowe 2 20 3" xfId="14945"/>
    <cellStyle name="Dane wyjściowe 2 20 3 2" xfId="14946"/>
    <cellStyle name="Dane wyjściowe 2 20 3 3" xfId="14947"/>
    <cellStyle name="Dane wyjściowe 2 20 3 4" xfId="14948"/>
    <cellStyle name="Dane wyjściowe 2 20 30" xfId="14949"/>
    <cellStyle name="Dane wyjściowe 2 20 30 2" xfId="14950"/>
    <cellStyle name="Dane wyjściowe 2 20 30 3" xfId="14951"/>
    <cellStyle name="Dane wyjściowe 2 20 31" xfId="14952"/>
    <cellStyle name="Dane wyjściowe 2 20 31 2" xfId="14953"/>
    <cellStyle name="Dane wyjściowe 2 20 31 3" xfId="14954"/>
    <cellStyle name="Dane wyjściowe 2 20 32" xfId="14955"/>
    <cellStyle name="Dane wyjściowe 2 20 32 2" xfId="14956"/>
    <cellStyle name="Dane wyjściowe 2 20 32 3" xfId="14957"/>
    <cellStyle name="Dane wyjściowe 2 20 33" xfId="14958"/>
    <cellStyle name="Dane wyjściowe 2 20 33 2" xfId="14959"/>
    <cellStyle name="Dane wyjściowe 2 20 33 3" xfId="14960"/>
    <cellStyle name="Dane wyjściowe 2 20 34" xfId="14961"/>
    <cellStyle name="Dane wyjściowe 2 20 34 2" xfId="14962"/>
    <cellStyle name="Dane wyjściowe 2 20 34 3" xfId="14963"/>
    <cellStyle name="Dane wyjściowe 2 20 35" xfId="14964"/>
    <cellStyle name="Dane wyjściowe 2 20 35 2" xfId="14965"/>
    <cellStyle name="Dane wyjściowe 2 20 35 3" xfId="14966"/>
    <cellStyle name="Dane wyjściowe 2 20 36" xfId="14967"/>
    <cellStyle name="Dane wyjściowe 2 20 36 2" xfId="14968"/>
    <cellStyle name="Dane wyjściowe 2 20 36 3" xfId="14969"/>
    <cellStyle name="Dane wyjściowe 2 20 37" xfId="14970"/>
    <cellStyle name="Dane wyjściowe 2 20 37 2" xfId="14971"/>
    <cellStyle name="Dane wyjściowe 2 20 37 3" xfId="14972"/>
    <cellStyle name="Dane wyjściowe 2 20 38" xfId="14973"/>
    <cellStyle name="Dane wyjściowe 2 20 38 2" xfId="14974"/>
    <cellStyle name="Dane wyjściowe 2 20 38 3" xfId="14975"/>
    <cellStyle name="Dane wyjściowe 2 20 39" xfId="14976"/>
    <cellStyle name="Dane wyjściowe 2 20 39 2" xfId="14977"/>
    <cellStyle name="Dane wyjściowe 2 20 39 3" xfId="14978"/>
    <cellStyle name="Dane wyjściowe 2 20 4" xfId="14979"/>
    <cellStyle name="Dane wyjściowe 2 20 4 2" xfId="14980"/>
    <cellStyle name="Dane wyjściowe 2 20 4 3" xfId="14981"/>
    <cellStyle name="Dane wyjściowe 2 20 4 4" xfId="14982"/>
    <cellStyle name="Dane wyjściowe 2 20 40" xfId="14983"/>
    <cellStyle name="Dane wyjściowe 2 20 40 2" xfId="14984"/>
    <cellStyle name="Dane wyjściowe 2 20 40 3" xfId="14985"/>
    <cellStyle name="Dane wyjściowe 2 20 41" xfId="14986"/>
    <cellStyle name="Dane wyjściowe 2 20 41 2" xfId="14987"/>
    <cellStyle name="Dane wyjściowe 2 20 41 3" xfId="14988"/>
    <cellStyle name="Dane wyjściowe 2 20 42" xfId="14989"/>
    <cellStyle name="Dane wyjściowe 2 20 42 2" xfId="14990"/>
    <cellStyle name="Dane wyjściowe 2 20 42 3" xfId="14991"/>
    <cellStyle name="Dane wyjściowe 2 20 43" xfId="14992"/>
    <cellStyle name="Dane wyjściowe 2 20 43 2" xfId="14993"/>
    <cellStyle name="Dane wyjściowe 2 20 43 3" xfId="14994"/>
    <cellStyle name="Dane wyjściowe 2 20 44" xfId="14995"/>
    <cellStyle name="Dane wyjściowe 2 20 44 2" xfId="14996"/>
    <cellStyle name="Dane wyjściowe 2 20 44 3" xfId="14997"/>
    <cellStyle name="Dane wyjściowe 2 20 45" xfId="14998"/>
    <cellStyle name="Dane wyjściowe 2 20 45 2" xfId="14999"/>
    <cellStyle name="Dane wyjściowe 2 20 45 3" xfId="15000"/>
    <cellStyle name="Dane wyjściowe 2 20 46" xfId="15001"/>
    <cellStyle name="Dane wyjściowe 2 20 46 2" xfId="15002"/>
    <cellStyle name="Dane wyjściowe 2 20 46 3" xfId="15003"/>
    <cellStyle name="Dane wyjściowe 2 20 47" xfId="15004"/>
    <cellStyle name="Dane wyjściowe 2 20 47 2" xfId="15005"/>
    <cellStyle name="Dane wyjściowe 2 20 47 3" xfId="15006"/>
    <cellStyle name="Dane wyjściowe 2 20 48" xfId="15007"/>
    <cellStyle name="Dane wyjściowe 2 20 48 2" xfId="15008"/>
    <cellStyle name="Dane wyjściowe 2 20 48 3" xfId="15009"/>
    <cellStyle name="Dane wyjściowe 2 20 49" xfId="15010"/>
    <cellStyle name="Dane wyjściowe 2 20 49 2" xfId="15011"/>
    <cellStyle name="Dane wyjściowe 2 20 49 3" xfId="15012"/>
    <cellStyle name="Dane wyjściowe 2 20 5" xfId="15013"/>
    <cellStyle name="Dane wyjściowe 2 20 5 2" xfId="15014"/>
    <cellStyle name="Dane wyjściowe 2 20 5 3" xfId="15015"/>
    <cellStyle name="Dane wyjściowe 2 20 5 4" xfId="15016"/>
    <cellStyle name="Dane wyjściowe 2 20 50" xfId="15017"/>
    <cellStyle name="Dane wyjściowe 2 20 50 2" xfId="15018"/>
    <cellStyle name="Dane wyjściowe 2 20 50 3" xfId="15019"/>
    <cellStyle name="Dane wyjściowe 2 20 51" xfId="15020"/>
    <cellStyle name="Dane wyjściowe 2 20 51 2" xfId="15021"/>
    <cellStyle name="Dane wyjściowe 2 20 51 3" xfId="15022"/>
    <cellStyle name="Dane wyjściowe 2 20 52" xfId="15023"/>
    <cellStyle name="Dane wyjściowe 2 20 52 2" xfId="15024"/>
    <cellStyle name="Dane wyjściowe 2 20 52 3" xfId="15025"/>
    <cellStyle name="Dane wyjściowe 2 20 53" xfId="15026"/>
    <cellStyle name="Dane wyjściowe 2 20 53 2" xfId="15027"/>
    <cellStyle name="Dane wyjściowe 2 20 53 3" xfId="15028"/>
    <cellStyle name="Dane wyjściowe 2 20 54" xfId="15029"/>
    <cellStyle name="Dane wyjściowe 2 20 54 2" xfId="15030"/>
    <cellStyle name="Dane wyjściowe 2 20 54 3" xfId="15031"/>
    <cellStyle name="Dane wyjściowe 2 20 55" xfId="15032"/>
    <cellStyle name="Dane wyjściowe 2 20 55 2" xfId="15033"/>
    <cellStyle name="Dane wyjściowe 2 20 55 3" xfId="15034"/>
    <cellStyle name="Dane wyjściowe 2 20 56" xfId="15035"/>
    <cellStyle name="Dane wyjściowe 2 20 56 2" xfId="15036"/>
    <cellStyle name="Dane wyjściowe 2 20 56 3" xfId="15037"/>
    <cellStyle name="Dane wyjściowe 2 20 57" xfId="15038"/>
    <cellStyle name="Dane wyjściowe 2 20 58" xfId="15039"/>
    <cellStyle name="Dane wyjściowe 2 20 6" xfId="15040"/>
    <cellStyle name="Dane wyjściowe 2 20 6 2" xfId="15041"/>
    <cellStyle name="Dane wyjściowe 2 20 6 3" xfId="15042"/>
    <cellStyle name="Dane wyjściowe 2 20 6 4" xfId="15043"/>
    <cellStyle name="Dane wyjściowe 2 20 7" xfId="15044"/>
    <cellStyle name="Dane wyjściowe 2 20 7 2" xfId="15045"/>
    <cellStyle name="Dane wyjściowe 2 20 7 3" xfId="15046"/>
    <cellStyle name="Dane wyjściowe 2 20 7 4" xfId="15047"/>
    <cellStyle name="Dane wyjściowe 2 20 8" xfId="15048"/>
    <cellStyle name="Dane wyjściowe 2 20 8 2" xfId="15049"/>
    <cellStyle name="Dane wyjściowe 2 20 8 3" xfId="15050"/>
    <cellStyle name="Dane wyjściowe 2 20 8 4" xfId="15051"/>
    <cellStyle name="Dane wyjściowe 2 20 9" xfId="15052"/>
    <cellStyle name="Dane wyjściowe 2 20 9 2" xfId="15053"/>
    <cellStyle name="Dane wyjściowe 2 20 9 3" xfId="15054"/>
    <cellStyle name="Dane wyjściowe 2 20 9 4" xfId="15055"/>
    <cellStyle name="Dane wyjściowe 2 21" xfId="15056"/>
    <cellStyle name="Dane wyjściowe 2 21 10" xfId="15057"/>
    <cellStyle name="Dane wyjściowe 2 21 10 2" xfId="15058"/>
    <cellStyle name="Dane wyjściowe 2 21 10 3" xfId="15059"/>
    <cellStyle name="Dane wyjściowe 2 21 10 4" xfId="15060"/>
    <cellStyle name="Dane wyjściowe 2 21 11" xfId="15061"/>
    <cellStyle name="Dane wyjściowe 2 21 11 2" xfId="15062"/>
    <cellStyle name="Dane wyjściowe 2 21 11 3" xfId="15063"/>
    <cellStyle name="Dane wyjściowe 2 21 11 4" xfId="15064"/>
    <cellStyle name="Dane wyjściowe 2 21 12" xfId="15065"/>
    <cellStyle name="Dane wyjściowe 2 21 12 2" xfId="15066"/>
    <cellStyle name="Dane wyjściowe 2 21 12 3" xfId="15067"/>
    <cellStyle name="Dane wyjściowe 2 21 12 4" xfId="15068"/>
    <cellStyle name="Dane wyjściowe 2 21 13" xfId="15069"/>
    <cellStyle name="Dane wyjściowe 2 21 13 2" xfId="15070"/>
    <cellStyle name="Dane wyjściowe 2 21 13 3" xfId="15071"/>
    <cellStyle name="Dane wyjściowe 2 21 13 4" xfId="15072"/>
    <cellStyle name="Dane wyjściowe 2 21 14" xfId="15073"/>
    <cellStyle name="Dane wyjściowe 2 21 14 2" xfId="15074"/>
    <cellStyle name="Dane wyjściowe 2 21 14 3" xfId="15075"/>
    <cellStyle name="Dane wyjściowe 2 21 14 4" xfId="15076"/>
    <cellStyle name="Dane wyjściowe 2 21 15" xfId="15077"/>
    <cellStyle name="Dane wyjściowe 2 21 15 2" xfId="15078"/>
    <cellStyle name="Dane wyjściowe 2 21 15 3" xfId="15079"/>
    <cellStyle name="Dane wyjściowe 2 21 15 4" xfId="15080"/>
    <cellStyle name="Dane wyjściowe 2 21 16" xfId="15081"/>
    <cellStyle name="Dane wyjściowe 2 21 16 2" xfId="15082"/>
    <cellStyle name="Dane wyjściowe 2 21 16 3" xfId="15083"/>
    <cellStyle name="Dane wyjściowe 2 21 16 4" xfId="15084"/>
    <cellStyle name="Dane wyjściowe 2 21 17" xfId="15085"/>
    <cellStyle name="Dane wyjściowe 2 21 17 2" xfId="15086"/>
    <cellStyle name="Dane wyjściowe 2 21 17 3" xfId="15087"/>
    <cellStyle name="Dane wyjściowe 2 21 17 4" xfId="15088"/>
    <cellStyle name="Dane wyjściowe 2 21 18" xfId="15089"/>
    <cellStyle name="Dane wyjściowe 2 21 18 2" xfId="15090"/>
    <cellStyle name="Dane wyjściowe 2 21 18 3" xfId="15091"/>
    <cellStyle name="Dane wyjściowe 2 21 18 4" xfId="15092"/>
    <cellStyle name="Dane wyjściowe 2 21 19" xfId="15093"/>
    <cellStyle name="Dane wyjściowe 2 21 19 2" xfId="15094"/>
    <cellStyle name="Dane wyjściowe 2 21 19 3" xfId="15095"/>
    <cellStyle name="Dane wyjściowe 2 21 19 4" xfId="15096"/>
    <cellStyle name="Dane wyjściowe 2 21 2" xfId="15097"/>
    <cellStyle name="Dane wyjściowe 2 21 2 2" xfId="15098"/>
    <cellStyle name="Dane wyjściowe 2 21 2 3" xfId="15099"/>
    <cellStyle name="Dane wyjściowe 2 21 2 4" xfId="15100"/>
    <cellStyle name="Dane wyjściowe 2 21 20" xfId="15101"/>
    <cellStyle name="Dane wyjściowe 2 21 20 2" xfId="15102"/>
    <cellStyle name="Dane wyjściowe 2 21 20 3" xfId="15103"/>
    <cellStyle name="Dane wyjściowe 2 21 20 4" xfId="15104"/>
    <cellStyle name="Dane wyjściowe 2 21 21" xfId="15105"/>
    <cellStyle name="Dane wyjściowe 2 21 21 2" xfId="15106"/>
    <cellStyle name="Dane wyjściowe 2 21 21 3" xfId="15107"/>
    <cellStyle name="Dane wyjściowe 2 21 22" xfId="15108"/>
    <cellStyle name="Dane wyjściowe 2 21 22 2" xfId="15109"/>
    <cellStyle name="Dane wyjściowe 2 21 22 3" xfId="15110"/>
    <cellStyle name="Dane wyjściowe 2 21 23" xfId="15111"/>
    <cellStyle name="Dane wyjściowe 2 21 23 2" xfId="15112"/>
    <cellStyle name="Dane wyjściowe 2 21 23 3" xfId="15113"/>
    <cellStyle name="Dane wyjściowe 2 21 24" xfId="15114"/>
    <cellStyle name="Dane wyjściowe 2 21 24 2" xfId="15115"/>
    <cellStyle name="Dane wyjściowe 2 21 24 3" xfId="15116"/>
    <cellStyle name="Dane wyjściowe 2 21 25" xfId="15117"/>
    <cellStyle name="Dane wyjściowe 2 21 25 2" xfId="15118"/>
    <cellStyle name="Dane wyjściowe 2 21 25 3" xfId="15119"/>
    <cellStyle name="Dane wyjściowe 2 21 26" xfId="15120"/>
    <cellStyle name="Dane wyjściowe 2 21 26 2" xfId="15121"/>
    <cellStyle name="Dane wyjściowe 2 21 26 3" xfId="15122"/>
    <cellStyle name="Dane wyjściowe 2 21 27" xfId="15123"/>
    <cellStyle name="Dane wyjściowe 2 21 27 2" xfId="15124"/>
    <cellStyle name="Dane wyjściowe 2 21 27 3" xfId="15125"/>
    <cellStyle name="Dane wyjściowe 2 21 28" xfId="15126"/>
    <cellStyle name="Dane wyjściowe 2 21 28 2" xfId="15127"/>
    <cellStyle name="Dane wyjściowe 2 21 28 3" xfId="15128"/>
    <cellStyle name="Dane wyjściowe 2 21 29" xfId="15129"/>
    <cellStyle name="Dane wyjściowe 2 21 29 2" xfId="15130"/>
    <cellStyle name="Dane wyjściowe 2 21 29 3" xfId="15131"/>
    <cellStyle name="Dane wyjściowe 2 21 3" xfId="15132"/>
    <cellStyle name="Dane wyjściowe 2 21 3 2" xfId="15133"/>
    <cellStyle name="Dane wyjściowe 2 21 3 3" xfId="15134"/>
    <cellStyle name="Dane wyjściowe 2 21 3 4" xfId="15135"/>
    <cellStyle name="Dane wyjściowe 2 21 30" xfId="15136"/>
    <cellStyle name="Dane wyjściowe 2 21 30 2" xfId="15137"/>
    <cellStyle name="Dane wyjściowe 2 21 30 3" xfId="15138"/>
    <cellStyle name="Dane wyjściowe 2 21 31" xfId="15139"/>
    <cellStyle name="Dane wyjściowe 2 21 31 2" xfId="15140"/>
    <cellStyle name="Dane wyjściowe 2 21 31 3" xfId="15141"/>
    <cellStyle name="Dane wyjściowe 2 21 32" xfId="15142"/>
    <cellStyle name="Dane wyjściowe 2 21 32 2" xfId="15143"/>
    <cellStyle name="Dane wyjściowe 2 21 32 3" xfId="15144"/>
    <cellStyle name="Dane wyjściowe 2 21 33" xfId="15145"/>
    <cellStyle name="Dane wyjściowe 2 21 33 2" xfId="15146"/>
    <cellStyle name="Dane wyjściowe 2 21 33 3" xfId="15147"/>
    <cellStyle name="Dane wyjściowe 2 21 34" xfId="15148"/>
    <cellStyle name="Dane wyjściowe 2 21 34 2" xfId="15149"/>
    <cellStyle name="Dane wyjściowe 2 21 34 3" xfId="15150"/>
    <cellStyle name="Dane wyjściowe 2 21 35" xfId="15151"/>
    <cellStyle name="Dane wyjściowe 2 21 35 2" xfId="15152"/>
    <cellStyle name="Dane wyjściowe 2 21 35 3" xfId="15153"/>
    <cellStyle name="Dane wyjściowe 2 21 36" xfId="15154"/>
    <cellStyle name="Dane wyjściowe 2 21 36 2" xfId="15155"/>
    <cellStyle name="Dane wyjściowe 2 21 36 3" xfId="15156"/>
    <cellStyle name="Dane wyjściowe 2 21 37" xfId="15157"/>
    <cellStyle name="Dane wyjściowe 2 21 37 2" xfId="15158"/>
    <cellStyle name="Dane wyjściowe 2 21 37 3" xfId="15159"/>
    <cellStyle name="Dane wyjściowe 2 21 38" xfId="15160"/>
    <cellStyle name="Dane wyjściowe 2 21 38 2" xfId="15161"/>
    <cellStyle name="Dane wyjściowe 2 21 38 3" xfId="15162"/>
    <cellStyle name="Dane wyjściowe 2 21 39" xfId="15163"/>
    <cellStyle name="Dane wyjściowe 2 21 39 2" xfId="15164"/>
    <cellStyle name="Dane wyjściowe 2 21 39 3" xfId="15165"/>
    <cellStyle name="Dane wyjściowe 2 21 4" xfId="15166"/>
    <cellStyle name="Dane wyjściowe 2 21 4 2" xfId="15167"/>
    <cellStyle name="Dane wyjściowe 2 21 4 3" xfId="15168"/>
    <cellStyle name="Dane wyjściowe 2 21 4 4" xfId="15169"/>
    <cellStyle name="Dane wyjściowe 2 21 40" xfId="15170"/>
    <cellStyle name="Dane wyjściowe 2 21 40 2" xfId="15171"/>
    <cellStyle name="Dane wyjściowe 2 21 40 3" xfId="15172"/>
    <cellStyle name="Dane wyjściowe 2 21 41" xfId="15173"/>
    <cellStyle name="Dane wyjściowe 2 21 41 2" xfId="15174"/>
    <cellStyle name="Dane wyjściowe 2 21 41 3" xfId="15175"/>
    <cellStyle name="Dane wyjściowe 2 21 42" xfId="15176"/>
    <cellStyle name="Dane wyjściowe 2 21 42 2" xfId="15177"/>
    <cellStyle name="Dane wyjściowe 2 21 42 3" xfId="15178"/>
    <cellStyle name="Dane wyjściowe 2 21 43" xfId="15179"/>
    <cellStyle name="Dane wyjściowe 2 21 43 2" xfId="15180"/>
    <cellStyle name="Dane wyjściowe 2 21 43 3" xfId="15181"/>
    <cellStyle name="Dane wyjściowe 2 21 44" xfId="15182"/>
    <cellStyle name="Dane wyjściowe 2 21 44 2" xfId="15183"/>
    <cellStyle name="Dane wyjściowe 2 21 44 3" xfId="15184"/>
    <cellStyle name="Dane wyjściowe 2 21 45" xfId="15185"/>
    <cellStyle name="Dane wyjściowe 2 21 45 2" xfId="15186"/>
    <cellStyle name="Dane wyjściowe 2 21 45 3" xfId="15187"/>
    <cellStyle name="Dane wyjściowe 2 21 46" xfId="15188"/>
    <cellStyle name="Dane wyjściowe 2 21 46 2" xfId="15189"/>
    <cellStyle name="Dane wyjściowe 2 21 46 3" xfId="15190"/>
    <cellStyle name="Dane wyjściowe 2 21 47" xfId="15191"/>
    <cellStyle name="Dane wyjściowe 2 21 47 2" xfId="15192"/>
    <cellStyle name="Dane wyjściowe 2 21 47 3" xfId="15193"/>
    <cellStyle name="Dane wyjściowe 2 21 48" xfId="15194"/>
    <cellStyle name="Dane wyjściowe 2 21 48 2" xfId="15195"/>
    <cellStyle name="Dane wyjściowe 2 21 48 3" xfId="15196"/>
    <cellStyle name="Dane wyjściowe 2 21 49" xfId="15197"/>
    <cellStyle name="Dane wyjściowe 2 21 49 2" xfId="15198"/>
    <cellStyle name="Dane wyjściowe 2 21 49 3" xfId="15199"/>
    <cellStyle name="Dane wyjściowe 2 21 5" xfId="15200"/>
    <cellStyle name="Dane wyjściowe 2 21 5 2" xfId="15201"/>
    <cellStyle name="Dane wyjściowe 2 21 5 3" xfId="15202"/>
    <cellStyle name="Dane wyjściowe 2 21 5 4" xfId="15203"/>
    <cellStyle name="Dane wyjściowe 2 21 50" xfId="15204"/>
    <cellStyle name="Dane wyjściowe 2 21 50 2" xfId="15205"/>
    <cellStyle name="Dane wyjściowe 2 21 50 3" xfId="15206"/>
    <cellStyle name="Dane wyjściowe 2 21 51" xfId="15207"/>
    <cellStyle name="Dane wyjściowe 2 21 51 2" xfId="15208"/>
    <cellStyle name="Dane wyjściowe 2 21 51 3" xfId="15209"/>
    <cellStyle name="Dane wyjściowe 2 21 52" xfId="15210"/>
    <cellStyle name="Dane wyjściowe 2 21 52 2" xfId="15211"/>
    <cellStyle name="Dane wyjściowe 2 21 52 3" xfId="15212"/>
    <cellStyle name="Dane wyjściowe 2 21 53" xfId="15213"/>
    <cellStyle name="Dane wyjściowe 2 21 53 2" xfId="15214"/>
    <cellStyle name="Dane wyjściowe 2 21 53 3" xfId="15215"/>
    <cellStyle name="Dane wyjściowe 2 21 54" xfId="15216"/>
    <cellStyle name="Dane wyjściowe 2 21 54 2" xfId="15217"/>
    <cellStyle name="Dane wyjściowe 2 21 54 3" xfId="15218"/>
    <cellStyle name="Dane wyjściowe 2 21 55" xfId="15219"/>
    <cellStyle name="Dane wyjściowe 2 21 55 2" xfId="15220"/>
    <cellStyle name="Dane wyjściowe 2 21 55 3" xfId="15221"/>
    <cellStyle name="Dane wyjściowe 2 21 56" xfId="15222"/>
    <cellStyle name="Dane wyjściowe 2 21 56 2" xfId="15223"/>
    <cellStyle name="Dane wyjściowe 2 21 56 3" xfId="15224"/>
    <cellStyle name="Dane wyjściowe 2 21 57" xfId="15225"/>
    <cellStyle name="Dane wyjściowe 2 21 58" xfId="15226"/>
    <cellStyle name="Dane wyjściowe 2 21 6" xfId="15227"/>
    <cellStyle name="Dane wyjściowe 2 21 6 2" xfId="15228"/>
    <cellStyle name="Dane wyjściowe 2 21 6 3" xfId="15229"/>
    <cellStyle name="Dane wyjściowe 2 21 6 4" xfId="15230"/>
    <cellStyle name="Dane wyjściowe 2 21 7" xfId="15231"/>
    <cellStyle name="Dane wyjściowe 2 21 7 2" xfId="15232"/>
    <cellStyle name="Dane wyjściowe 2 21 7 3" xfId="15233"/>
    <cellStyle name="Dane wyjściowe 2 21 7 4" xfId="15234"/>
    <cellStyle name="Dane wyjściowe 2 21 8" xfId="15235"/>
    <cellStyle name="Dane wyjściowe 2 21 8 2" xfId="15236"/>
    <cellStyle name="Dane wyjściowe 2 21 8 3" xfId="15237"/>
    <cellStyle name="Dane wyjściowe 2 21 8 4" xfId="15238"/>
    <cellStyle name="Dane wyjściowe 2 21 9" xfId="15239"/>
    <cellStyle name="Dane wyjściowe 2 21 9 2" xfId="15240"/>
    <cellStyle name="Dane wyjściowe 2 21 9 3" xfId="15241"/>
    <cellStyle name="Dane wyjściowe 2 21 9 4" xfId="15242"/>
    <cellStyle name="Dane wyjściowe 2 22" xfId="15243"/>
    <cellStyle name="Dane wyjściowe 2 22 10" xfId="15244"/>
    <cellStyle name="Dane wyjściowe 2 22 10 2" xfId="15245"/>
    <cellStyle name="Dane wyjściowe 2 22 10 3" xfId="15246"/>
    <cellStyle name="Dane wyjściowe 2 22 10 4" xfId="15247"/>
    <cellStyle name="Dane wyjściowe 2 22 11" xfId="15248"/>
    <cellStyle name="Dane wyjściowe 2 22 11 2" xfId="15249"/>
    <cellStyle name="Dane wyjściowe 2 22 11 3" xfId="15250"/>
    <cellStyle name="Dane wyjściowe 2 22 11 4" xfId="15251"/>
    <cellStyle name="Dane wyjściowe 2 22 12" xfId="15252"/>
    <cellStyle name="Dane wyjściowe 2 22 12 2" xfId="15253"/>
    <cellStyle name="Dane wyjściowe 2 22 12 3" xfId="15254"/>
    <cellStyle name="Dane wyjściowe 2 22 12 4" xfId="15255"/>
    <cellStyle name="Dane wyjściowe 2 22 13" xfId="15256"/>
    <cellStyle name="Dane wyjściowe 2 22 13 2" xfId="15257"/>
    <cellStyle name="Dane wyjściowe 2 22 13 3" xfId="15258"/>
    <cellStyle name="Dane wyjściowe 2 22 13 4" xfId="15259"/>
    <cellStyle name="Dane wyjściowe 2 22 14" xfId="15260"/>
    <cellStyle name="Dane wyjściowe 2 22 14 2" xfId="15261"/>
    <cellStyle name="Dane wyjściowe 2 22 14 3" xfId="15262"/>
    <cellStyle name="Dane wyjściowe 2 22 14 4" xfId="15263"/>
    <cellStyle name="Dane wyjściowe 2 22 15" xfId="15264"/>
    <cellStyle name="Dane wyjściowe 2 22 15 2" xfId="15265"/>
    <cellStyle name="Dane wyjściowe 2 22 15 3" xfId="15266"/>
    <cellStyle name="Dane wyjściowe 2 22 15 4" xfId="15267"/>
    <cellStyle name="Dane wyjściowe 2 22 16" xfId="15268"/>
    <cellStyle name="Dane wyjściowe 2 22 16 2" xfId="15269"/>
    <cellStyle name="Dane wyjściowe 2 22 16 3" xfId="15270"/>
    <cellStyle name="Dane wyjściowe 2 22 16 4" xfId="15271"/>
    <cellStyle name="Dane wyjściowe 2 22 17" xfId="15272"/>
    <cellStyle name="Dane wyjściowe 2 22 17 2" xfId="15273"/>
    <cellStyle name="Dane wyjściowe 2 22 17 3" xfId="15274"/>
    <cellStyle name="Dane wyjściowe 2 22 17 4" xfId="15275"/>
    <cellStyle name="Dane wyjściowe 2 22 18" xfId="15276"/>
    <cellStyle name="Dane wyjściowe 2 22 18 2" xfId="15277"/>
    <cellStyle name="Dane wyjściowe 2 22 18 3" xfId="15278"/>
    <cellStyle name="Dane wyjściowe 2 22 18 4" xfId="15279"/>
    <cellStyle name="Dane wyjściowe 2 22 19" xfId="15280"/>
    <cellStyle name="Dane wyjściowe 2 22 19 2" xfId="15281"/>
    <cellStyle name="Dane wyjściowe 2 22 19 3" xfId="15282"/>
    <cellStyle name="Dane wyjściowe 2 22 19 4" xfId="15283"/>
    <cellStyle name="Dane wyjściowe 2 22 2" xfId="15284"/>
    <cellStyle name="Dane wyjściowe 2 22 2 2" xfId="15285"/>
    <cellStyle name="Dane wyjściowe 2 22 2 3" xfId="15286"/>
    <cellStyle name="Dane wyjściowe 2 22 2 4" xfId="15287"/>
    <cellStyle name="Dane wyjściowe 2 22 20" xfId="15288"/>
    <cellStyle name="Dane wyjściowe 2 22 20 2" xfId="15289"/>
    <cellStyle name="Dane wyjściowe 2 22 20 3" xfId="15290"/>
    <cellStyle name="Dane wyjściowe 2 22 20 4" xfId="15291"/>
    <cellStyle name="Dane wyjściowe 2 22 21" xfId="15292"/>
    <cellStyle name="Dane wyjściowe 2 22 21 2" xfId="15293"/>
    <cellStyle name="Dane wyjściowe 2 22 21 3" xfId="15294"/>
    <cellStyle name="Dane wyjściowe 2 22 22" xfId="15295"/>
    <cellStyle name="Dane wyjściowe 2 22 22 2" xfId="15296"/>
    <cellStyle name="Dane wyjściowe 2 22 22 3" xfId="15297"/>
    <cellStyle name="Dane wyjściowe 2 22 23" xfId="15298"/>
    <cellStyle name="Dane wyjściowe 2 22 23 2" xfId="15299"/>
    <cellStyle name="Dane wyjściowe 2 22 23 3" xfId="15300"/>
    <cellStyle name="Dane wyjściowe 2 22 24" xfId="15301"/>
    <cellStyle name="Dane wyjściowe 2 22 24 2" xfId="15302"/>
    <cellStyle name="Dane wyjściowe 2 22 24 3" xfId="15303"/>
    <cellStyle name="Dane wyjściowe 2 22 25" xfId="15304"/>
    <cellStyle name="Dane wyjściowe 2 22 25 2" xfId="15305"/>
    <cellStyle name="Dane wyjściowe 2 22 25 3" xfId="15306"/>
    <cellStyle name="Dane wyjściowe 2 22 26" xfId="15307"/>
    <cellStyle name="Dane wyjściowe 2 22 26 2" xfId="15308"/>
    <cellStyle name="Dane wyjściowe 2 22 26 3" xfId="15309"/>
    <cellStyle name="Dane wyjściowe 2 22 27" xfId="15310"/>
    <cellStyle name="Dane wyjściowe 2 22 27 2" xfId="15311"/>
    <cellStyle name="Dane wyjściowe 2 22 27 3" xfId="15312"/>
    <cellStyle name="Dane wyjściowe 2 22 28" xfId="15313"/>
    <cellStyle name="Dane wyjściowe 2 22 28 2" xfId="15314"/>
    <cellStyle name="Dane wyjściowe 2 22 28 3" xfId="15315"/>
    <cellStyle name="Dane wyjściowe 2 22 29" xfId="15316"/>
    <cellStyle name="Dane wyjściowe 2 22 29 2" xfId="15317"/>
    <cellStyle name="Dane wyjściowe 2 22 29 3" xfId="15318"/>
    <cellStyle name="Dane wyjściowe 2 22 3" xfId="15319"/>
    <cellStyle name="Dane wyjściowe 2 22 3 2" xfId="15320"/>
    <cellStyle name="Dane wyjściowe 2 22 3 3" xfId="15321"/>
    <cellStyle name="Dane wyjściowe 2 22 3 4" xfId="15322"/>
    <cellStyle name="Dane wyjściowe 2 22 30" xfId="15323"/>
    <cellStyle name="Dane wyjściowe 2 22 30 2" xfId="15324"/>
    <cellStyle name="Dane wyjściowe 2 22 30 3" xfId="15325"/>
    <cellStyle name="Dane wyjściowe 2 22 31" xfId="15326"/>
    <cellStyle name="Dane wyjściowe 2 22 31 2" xfId="15327"/>
    <cellStyle name="Dane wyjściowe 2 22 31 3" xfId="15328"/>
    <cellStyle name="Dane wyjściowe 2 22 32" xfId="15329"/>
    <cellStyle name="Dane wyjściowe 2 22 32 2" xfId="15330"/>
    <cellStyle name="Dane wyjściowe 2 22 32 3" xfId="15331"/>
    <cellStyle name="Dane wyjściowe 2 22 33" xfId="15332"/>
    <cellStyle name="Dane wyjściowe 2 22 33 2" xfId="15333"/>
    <cellStyle name="Dane wyjściowe 2 22 33 3" xfId="15334"/>
    <cellStyle name="Dane wyjściowe 2 22 34" xfId="15335"/>
    <cellStyle name="Dane wyjściowe 2 22 34 2" xfId="15336"/>
    <cellStyle name="Dane wyjściowe 2 22 34 3" xfId="15337"/>
    <cellStyle name="Dane wyjściowe 2 22 35" xfId="15338"/>
    <cellStyle name="Dane wyjściowe 2 22 35 2" xfId="15339"/>
    <cellStyle name="Dane wyjściowe 2 22 35 3" xfId="15340"/>
    <cellStyle name="Dane wyjściowe 2 22 36" xfId="15341"/>
    <cellStyle name="Dane wyjściowe 2 22 36 2" xfId="15342"/>
    <cellStyle name="Dane wyjściowe 2 22 36 3" xfId="15343"/>
    <cellStyle name="Dane wyjściowe 2 22 37" xfId="15344"/>
    <cellStyle name="Dane wyjściowe 2 22 37 2" xfId="15345"/>
    <cellStyle name="Dane wyjściowe 2 22 37 3" xfId="15346"/>
    <cellStyle name="Dane wyjściowe 2 22 38" xfId="15347"/>
    <cellStyle name="Dane wyjściowe 2 22 38 2" xfId="15348"/>
    <cellStyle name="Dane wyjściowe 2 22 38 3" xfId="15349"/>
    <cellStyle name="Dane wyjściowe 2 22 39" xfId="15350"/>
    <cellStyle name="Dane wyjściowe 2 22 39 2" xfId="15351"/>
    <cellStyle name="Dane wyjściowe 2 22 39 3" xfId="15352"/>
    <cellStyle name="Dane wyjściowe 2 22 4" xfId="15353"/>
    <cellStyle name="Dane wyjściowe 2 22 4 2" xfId="15354"/>
    <cellStyle name="Dane wyjściowe 2 22 4 3" xfId="15355"/>
    <cellStyle name="Dane wyjściowe 2 22 4 4" xfId="15356"/>
    <cellStyle name="Dane wyjściowe 2 22 40" xfId="15357"/>
    <cellStyle name="Dane wyjściowe 2 22 40 2" xfId="15358"/>
    <cellStyle name="Dane wyjściowe 2 22 40 3" xfId="15359"/>
    <cellStyle name="Dane wyjściowe 2 22 41" xfId="15360"/>
    <cellStyle name="Dane wyjściowe 2 22 41 2" xfId="15361"/>
    <cellStyle name="Dane wyjściowe 2 22 41 3" xfId="15362"/>
    <cellStyle name="Dane wyjściowe 2 22 42" xfId="15363"/>
    <cellStyle name="Dane wyjściowe 2 22 42 2" xfId="15364"/>
    <cellStyle name="Dane wyjściowe 2 22 42 3" xfId="15365"/>
    <cellStyle name="Dane wyjściowe 2 22 43" xfId="15366"/>
    <cellStyle name="Dane wyjściowe 2 22 43 2" xfId="15367"/>
    <cellStyle name="Dane wyjściowe 2 22 43 3" xfId="15368"/>
    <cellStyle name="Dane wyjściowe 2 22 44" xfId="15369"/>
    <cellStyle name="Dane wyjściowe 2 22 44 2" xfId="15370"/>
    <cellStyle name="Dane wyjściowe 2 22 44 3" xfId="15371"/>
    <cellStyle name="Dane wyjściowe 2 22 45" xfId="15372"/>
    <cellStyle name="Dane wyjściowe 2 22 45 2" xfId="15373"/>
    <cellStyle name="Dane wyjściowe 2 22 45 3" xfId="15374"/>
    <cellStyle name="Dane wyjściowe 2 22 46" xfId="15375"/>
    <cellStyle name="Dane wyjściowe 2 22 46 2" xfId="15376"/>
    <cellStyle name="Dane wyjściowe 2 22 46 3" xfId="15377"/>
    <cellStyle name="Dane wyjściowe 2 22 47" xfId="15378"/>
    <cellStyle name="Dane wyjściowe 2 22 47 2" xfId="15379"/>
    <cellStyle name="Dane wyjściowe 2 22 47 3" xfId="15380"/>
    <cellStyle name="Dane wyjściowe 2 22 48" xfId="15381"/>
    <cellStyle name="Dane wyjściowe 2 22 48 2" xfId="15382"/>
    <cellStyle name="Dane wyjściowe 2 22 48 3" xfId="15383"/>
    <cellStyle name="Dane wyjściowe 2 22 49" xfId="15384"/>
    <cellStyle name="Dane wyjściowe 2 22 49 2" xfId="15385"/>
    <cellStyle name="Dane wyjściowe 2 22 49 3" xfId="15386"/>
    <cellStyle name="Dane wyjściowe 2 22 5" xfId="15387"/>
    <cellStyle name="Dane wyjściowe 2 22 5 2" xfId="15388"/>
    <cellStyle name="Dane wyjściowe 2 22 5 3" xfId="15389"/>
    <cellStyle name="Dane wyjściowe 2 22 5 4" xfId="15390"/>
    <cellStyle name="Dane wyjściowe 2 22 50" xfId="15391"/>
    <cellStyle name="Dane wyjściowe 2 22 50 2" xfId="15392"/>
    <cellStyle name="Dane wyjściowe 2 22 50 3" xfId="15393"/>
    <cellStyle name="Dane wyjściowe 2 22 51" xfId="15394"/>
    <cellStyle name="Dane wyjściowe 2 22 51 2" xfId="15395"/>
    <cellStyle name="Dane wyjściowe 2 22 51 3" xfId="15396"/>
    <cellStyle name="Dane wyjściowe 2 22 52" xfId="15397"/>
    <cellStyle name="Dane wyjściowe 2 22 52 2" xfId="15398"/>
    <cellStyle name="Dane wyjściowe 2 22 52 3" xfId="15399"/>
    <cellStyle name="Dane wyjściowe 2 22 53" xfId="15400"/>
    <cellStyle name="Dane wyjściowe 2 22 53 2" xfId="15401"/>
    <cellStyle name="Dane wyjściowe 2 22 53 3" xfId="15402"/>
    <cellStyle name="Dane wyjściowe 2 22 54" xfId="15403"/>
    <cellStyle name="Dane wyjściowe 2 22 54 2" xfId="15404"/>
    <cellStyle name="Dane wyjściowe 2 22 54 3" xfId="15405"/>
    <cellStyle name="Dane wyjściowe 2 22 55" xfId="15406"/>
    <cellStyle name="Dane wyjściowe 2 22 55 2" xfId="15407"/>
    <cellStyle name="Dane wyjściowe 2 22 55 3" xfId="15408"/>
    <cellStyle name="Dane wyjściowe 2 22 56" xfId="15409"/>
    <cellStyle name="Dane wyjściowe 2 22 56 2" xfId="15410"/>
    <cellStyle name="Dane wyjściowe 2 22 56 3" xfId="15411"/>
    <cellStyle name="Dane wyjściowe 2 22 57" xfId="15412"/>
    <cellStyle name="Dane wyjściowe 2 22 58" xfId="15413"/>
    <cellStyle name="Dane wyjściowe 2 22 6" xfId="15414"/>
    <cellStyle name="Dane wyjściowe 2 22 6 2" xfId="15415"/>
    <cellStyle name="Dane wyjściowe 2 22 6 3" xfId="15416"/>
    <cellStyle name="Dane wyjściowe 2 22 6 4" xfId="15417"/>
    <cellStyle name="Dane wyjściowe 2 22 7" xfId="15418"/>
    <cellStyle name="Dane wyjściowe 2 22 7 2" xfId="15419"/>
    <cellStyle name="Dane wyjściowe 2 22 7 3" xfId="15420"/>
    <cellStyle name="Dane wyjściowe 2 22 7 4" xfId="15421"/>
    <cellStyle name="Dane wyjściowe 2 22 8" xfId="15422"/>
    <cellStyle name="Dane wyjściowe 2 22 8 2" xfId="15423"/>
    <cellStyle name="Dane wyjściowe 2 22 8 3" xfId="15424"/>
    <cellStyle name="Dane wyjściowe 2 22 8 4" xfId="15425"/>
    <cellStyle name="Dane wyjściowe 2 22 9" xfId="15426"/>
    <cellStyle name="Dane wyjściowe 2 22 9 2" xfId="15427"/>
    <cellStyle name="Dane wyjściowe 2 22 9 3" xfId="15428"/>
    <cellStyle name="Dane wyjściowe 2 22 9 4" xfId="15429"/>
    <cellStyle name="Dane wyjściowe 2 23" xfId="15430"/>
    <cellStyle name="Dane wyjściowe 2 23 10" xfId="15431"/>
    <cellStyle name="Dane wyjściowe 2 23 10 2" xfId="15432"/>
    <cellStyle name="Dane wyjściowe 2 23 10 3" xfId="15433"/>
    <cellStyle name="Dane wyjściowe 2 23 10 4" xfId="15434"/>
    <cellStyle name="Dane wyjściowe 2 23 11" xfId="15435"/>
    <cellStyle name="Dane wyjściowe 2 23 11 2" xfId="15436"/>
    <cellStyle name="Dane wyjściowe 2 23 11 3" xfId="15437"/>
    <cellStyle name="Dane wyjściowe 2 23 11 4" xfId="15438"/>
    <cellStyle name="Dane wyjściowe 2 23 12" xfId="15439"/>
    <cellStyle name="Dane wyjściowe 2 23 12 2" xfId="15440"/>
    <cellStyle name="Dane wyjściowe 2 23 12 3" xfId="15441"/>
    <cellStyle name="Dane wyjściowe 2 23 12 4" xfId="15442"/>
    <cellStyle name="Dane wyjściowe 2 23 13" xfId="15443"/>
    <cellStyle name="Dane wyjściowe 2 23 13 2" xfId="15444"/>
    <cellStyle name="Dane wyjściowe 2 23 13 3" xfId="15445"/>
    <cellStyle name="Dane wyjściowe 2 23 13 4" xfId="15446"/>
    <cellStyle name="Dane wyjściowe 2 23 14" xfId="15447"/>
    <cellStyle name="Dane wyjściowe 2 23 14 2" xfId="15448"/>
    <cellStyle name="Dane wyjściowe 2 23 14 3" xfId="15449"/>
    <cellStyle name="Dane wyjściowe 2 23 14 4" xfId="15450"/>
    <cellStyle name="Dane wyjściowe 2 23 15" xfId="15451"/>
    <cellStyle name="Dane wyjściowe 2 23 15 2" xfId="15452"/>
    <cellStyle name="Dane wyjściowe 2 23 15 3" xfId="15453"/>
    <cellStyle name="Dane wyjściowe 2 23 15 4" xfId="15454"/>
    <cellStyle name="Dane wyjściowe 2 23 16" xfId="15455"/>
    <cellStyle name="Dane wyjściowe 2 23 16 2" xfId="15456"/>
    <cellStyle name="Dane wyjściowe 2 23 16 3" xfId="15457"/>
    <cellStyle name="Dane wyjściowe 2 23 16 4" xfId="15458"/>
    <cellStyle name="Dane wyjściowe 2 23 17" xfId="15459"/>
    <cellStyle name="Dane wyjściowe 2 23 17 2" xfId="15460"/>
    <cellStyle name="Dane wyjściowe 2 23 17 3" xfId="15461"/>
    <cellStyle name="Dane wyjściowe 2 23 17 4" xfId="15462"/>
    <cellStyle name="Dane wyjściowe 2 23 18" xfId="15463"/>
    <cellStyle name="Dane wyjściowe 2 23 18 2" xfId="15464"/>
    <cellStyle name="Dane wyjściowe 2 23 18 3" xfId="15465"/>
    <cellStyle name="Dane wyjściowe 2 23 18 4" xfId="15466"/>
    <cellStyle name="Dane wyjściowe 2 23 19" xfId="15467"/>
    <cellStyle name="Dane wyjściowe 2 23 19 2" xfId="15468"/>
    <cellStyle name="Dane wyjściowe 2 23 19 3" xfId="15469"/>
    <cellStyle name="Dane wyjściowe 2 23 19 4" xfId="15470"/>
    <cellStyle name="Dane wyjściowe 2 23 2" xfId="15471"/>
    <cellStyle name="Dane wyjściowe 2 23 2 2" xfId="15472"/>
    <cellStyle name="Dane wyjściowe 2 23 2 3" xfId="15473"/>
    <cellStyle name="Dane wyjściowe 2 23 2 4" xfId="15474"/>
    <cellStyle name="Dane wyjściowe 2 23 20" xfId="15475"/>
    <cellStyle name="Dane wyjściowe 2 23 20 2" xfId="15476"/>
    <cellStyle name="Dane wyjściowe 2 23 20 3" xfId="15477"/>
    <cellStyle name="Dane wyjściowe 2 23 20 4" xfId="15478"/>
    <cellStyle name="Dane wyjściowe 2 23 21" xfId="15479"/>
    <cellStyle name="Dane wyjściowe 2 23 21 2" xfId="15480"/>
    <cellStyle name="Dane wyjściowe 2 23 21 3" xfId="15481"/>
    <cellStyle name="Dane wyjściowe 2 23 22" xfId="15482"/>
    <cellStyle name="Dane wyjściowe 2 23 22 2" xfId="15483"/>
    <cellStyle name="Dane wyjściowe 2 23 22 3" xfId="15484"/>
    <cellStyle name="Dane wyjściowe 2 23 23" xfId="15485"/>
    <cellStyle name="Dane wyjściowe 2 23 23 2" xfId="15486"/>
    <cellStyle name="Dane wyjściowe 2 23 23 3" xfId="15487"/>
    <cellStyle name="Dane wyjściowe 2 23 24" xfId="15488"/>
    <cellStyle name="Dane wyjściowe 2 23 24 2" xfId="15489"/>
    <cellStyle name="Dane wyjściowe 2 23 24 3" xfId="15490"/>
    <cellStyle name="Dane wyjściowe 2 23 25" xfId="15491"/>
    <cellStyle name="Dane wyjściowe 2 23 25 2" xfId="15492"/>
    <cellStyle name="Dane wyjściowe 2 23 25 3" xfId="15493"/>
    <cellStyle name="Dane wyjściowe 2 23 26" xfId="15494"/>
    <cellStyle name="Dane wyjściowe 2 23 26 2" xfId="15495"/>
    <cellStyle name="Dane wyjściowe 2 23 26 3" xfId="15496"/>
    <cellStyle name="Dane wyjściowe 2 23 27" xfId="15497"/>
    <cellStyle name="Dane wyjściowe 2 23 27 2" xfId="15498"/>
    <cellStyle name="Dane wyjściowe 2 23 27 3" xfId="15499"/>
    <cellStyle name="Dane wyjściowe 2 23 28" xfId="15500"/>
    <cellStyle name="Dane wyjściowe 2 23 28 2" xfId="15501"/>
    <cellStyle name="Dane wyjściowe 2 23 28 3" xfId="15502"/>
    <cellStyle name="Dane wyjściowe 2 23 29" xfId="15503"/>
    <cellStyle name="Dane wyjściowe 2 23 29 2" xfId="15504"/>
    <cellStyle name="Dane wyjściowe 2 23 29 3" xfId="15505"/>
    <cellStyle name="Dane wyjściowe 2 23 3" xfId="15506"/>
    <cellStyle name="Dane wyjściowe 2 23 3 2" xfId="15507"/>
    <cellStyle name="Dane wyjściowe 2 23 3 3" xfId="15508"/>
    <cellStyle name="Dane wyjściowe 2 23 3 4" xfId="15509"/>
    <cellStyle name="Dane wyjściowe 2 23 30" xfId="15510"/>
    <cellStyle name="Dane wyjściowe 2 23 30 2" xfId="15511"/>
    <cellStyle name="Dane wyjściowe 2 23 30 3" xfId="15512"/>
    <cellStyle name="Dane wyjściowe 2 23 31" xfId="15513"/>
    <cellStyle name="Dane wyjściowe 2 23 31 2" xfId="15514"/>
    <cellStyle name="Dane wyjściowe 2 23 31 3" xfId="15515"/>
    <cellStyle name="Dane wyjściowe 2 23 32" xfId="15516"/>
    <cellStyle name="Dane wyjściowe 2 23 32 2" xfId="15517"/>
    <cellStyle name="Dane wyjściowe 2 23 32 3" xfId="15518"/>
    <cellStyle name="Dane wyjściowe 2 23 33" xfId="15519"/>
    <cellStyle name="Dane wyjściowe 2 23 33 2" xfId="15520"/>
    <cellStyle name="Dane wyjściowe 2 23 33 3" xfId="15521"/>
    <cellStyle name="Dane wyjściowe 2 23 34" xfId="15522"/>
    <cellStyle name="Dane wyjściowe 2 23 34 2" xfId="15523"/>
    <cellStyle name="Dane wyjściowe 2 23 34 3" xfId="15524"/>
    <cellStyle name="Dane wyjściowe 2 23 35" xfId="15525"/>
    <cellStyle name="Dane wyjściowe 2 23 35 2" xfId="15526"/>
    <cellStyle name="Dane wyjściowe 2 23 35 3" xfId="15527"/>
    <cellStyle name="Dane wyjściowe 2 23 36" xfId="15528"/>
    <cellStyle name="Dane wyjściowe 2 23 36 2" xfId="15529"/>
    <cellStyle name="Dane wyjściowe 2 23 36 3" xfId="15530"/>
    <cellStyle name="Dane wyjściowe 2 23 37" xfId="15531"/>
    <cellStyle name="Dane wyjściowe 2 23 37 2" xfId="15532"/>
    <cellStyle name="Dane wyjściowe 2 23 37 3" xfId="15533"/>
    <cellStyle name="Dane wyjściowe 2 23 38" xfId="15534"/>
    <cellStyle name="Dane wyjściowe 2 23 38 2" xfId="15535"/>
    <cellStyle name="Dane wyjściowe 2 23 38 3" xfId="15536"/>
    <cellStyle name="Dane wyjściowe 2 23 39" xfId="15537"/>
    <cellStyle name="Dane wyjściowe 2 23 39 2" xfId="15538"/>
    <cellStyle name="Dane wyjściowe 2 23 39 3" xfId="15539"/>
    <cellStyle name="Dane wyjściowe 2 23 4" xfId="15540"/>
    <cellStyle name="Dane wyjściowe 2 23 4 2" xfId="15541"/>
    <cellStyle name="Dane wyjściowe 2 23 4 3" xfId="15542"/>
    <cellStyle name="Dane wyjściowe 2 23 4 4" xfId="15543"/>
    <cellStyle name="Dane wyjściowe 2 23 40" xfId="15544"/>
    <cellStyle name="Dane wyjściowe 2 23 40 2" xfId="15545"/>
    <cellStyle name="Dane wyjściowe 2 23 40 3" xfId="15546"/>
    <cellStyle name="Dane wyjściowe 2 23 41" xfId="15547"/>
    <cellStyle name="Dane wyjściowe 2 23 41 2" xfId="15548"/>
    <cellStyle name="Dane wyjściowe 2 23 41 3" xfId="15549"/>
    <cellStyle name="Dane wyjściowe 2 23 42" xfId="15550"/>
    <cellStyle name="Dane wyjściowe 2 23 42 2" xfId="15551"/>
    <cellStyle name="Dane wyjściowe 2 23 42 3" xfId="15552"/>
    <cellStyle name="Dane wyjściowe 2 23 43" xfId="15553"/>
    <cellStyle name="Dane wyjściowe 2 23 43 2" xfId="15554"/>
    <cellStyle name="Dane wyjściowe 2 23 43 3" xfId="15555"/>
    <cellStyle name="Dane wyjściowe 2 23 44" xfId="15556"/>
    <cellStyle name="Dane wyjściowe 2 23 44 2" xfId="15557"/>
    <cellStyle name="Dane wyjściowe 2 23 44 3" xfId="15558"/>
    <cellStyle name="Dane wyjściowe 2 23 45" xfId="15559"/>
    <cellStyle name="Dane wyjściowe 2 23 45 2" xfId="15560"/>
    <cellStyle name="Dane wyjściowe 2 23 45 3" xfId="15561"/>
    <cellStyle name="Dane wyjściowe 2 23 46" xfId="15562"/>
    <cellStyle name="Dane wyjściowe 2 23 46 2" xfId="15563"/>
    <cellStyle name="Dane wyjściowe 2 23 46 3" xfId="15564"/>
    <cellStyle name="Dane wyjściowe 2 23 47" xfId="15565"/>
    <cellStyle name="Dane wyjściowe 2 23 47 2" xfId="15566"/>
    <cellStyle name="Dane wyjściowe 2 23 47 3" xfId="15567"/>
    <cellStyle name="Dane wyjściowe 2 23 48" xfId="15568"/>
    <cellStyle name="Dane wyjściowe 2 23 48 2" xfId="15569"/>
    <cellStyle name="Dane wyjściowe 2 23 48 3" xfId="15570"/>
    <cellStyle name="Dane wyjściowe 2 23 49" xfId="15571"/>
    <cellStyle name="Dane wyjściowe 2 23 49 2" xfId="15572"/>
    <cellStyle name="Dane wyjściowe 2 23 49 3" xfId="15573"/>
    <cellStyle name="Dane wyjściowe 2 23 5" xfId="15574"/>
    <cellStyle name="Dane wyjściowe 2 23 5 2" xfId="15575"/>
    <cellStyle name="Dane wyjściowe 2 23 5 3" xfId="15576"/>
    <cellStyle name="Dane wyjściowe 2 23 5 4" xfId="15577"/>
    <cellStyle name="Dane wyjściowe 2 23 50" xfId="15578"/>
    <cellStyle name="Dane wyjściowe 2 23 50 2" xfId="15579"/>
    <cellStyle name="Dane wyjściowe 2 23 50 3" xfId="15580"/>
    <cellStyle name="Dane wyjściowe 2 23 51" xfId="15581"/>
    <cellStyle name="Dane wyjściowe 2 23 51 2" xfId="15582"/>
    <cellStyle name="Dane wyjściowe 2 23 51 3" xfId="15583"/>
    <cellStyle name="Dane wyjściowe 2 23 52" xfId="15584"/>
    <cellStyle name="Dane wyjściowe 2 23 52 2" xfId="15585"/>
    <cellStyle name="Dane wyjściowe 2 23 52 3" xfId="15586"/>
    <cellStyle name="Dane wyjściowe 2 23 53" xfId="15587"/>
    <cellStyle name="Dane wyjściowe 2 23 53 2" xfId="15588"/>
    <cellStyle name="Dane wyjściowe 2 23 53 3" xfId="15589"/>
    <cellStyle name="Dane wyjściowe 2 23 54" xfId="15590"/>
    <cellStyle name="Dane wyjściowe 2 23 54 2" xfId="15591"/>
    <cellStyle name="Dane wyjściowe 2 23 54 3" xfId="15592"/>
    <cellStyle name="Dane wyjściowe 2 23 55" xfId="15593"/>
    <cellStyle name="Dane wyjściowe 2 23 55 2" xfId="15594"/>
    <cellStyle name="Dane wyjściowe 2 23 55 3" xfId="15595"/>
    <cellStyle name="Dane wyjściowe 2 23 56" xfId="15596"/>
    <cellStyle name="Dane wyjściowe 2 23 56 2" xfId="15597"/>
    <cellStyle name="Dane wyjściowe 2 23 56 3" xfId="15598"/>
    <cellStyle name="Dane wyjściowe 2 23 57" xfId="15599"/>
    <cellStyle name="Dane wyjściowe 2 23 58" xfId="15600"/>
    <cellStyle name="Dane wyjściowe 2 23 6" xfId="15601"/>
    <cellStyle name="Dane wyjściowe 2 23 6 2" xfId="15602"/>
    <cellStyle name="Dane wyjściowe 2 23 6 3" xfId="15603"/>
    <cellStyle name="Dane wyjściowe 2 23 6 4" xfId="15604"/>
    <cellStyle name="Dane wyjściowe 2 23 7" xfId="15605"/>
    <cellStyle name="Dane wyjściowe 2 23 7 2" xfId="15606"/>
    <cellStyle name="Dane wyjściowe 2 23 7 3" xfId="15607"/>
    <cellStyle name="Dane wyjściowe 2 23 7 4" xfId="15608"/>
    <cellStyle name="Dane wyjściowe 2 23 8" xfId="15609"/>
    <cellStyle name="Dane wyjściowe 2 23 8 2" xfId="15610"/>
    <cellStyle name="Dane wyjściowe 2 23 8 3" xfId="15611"/>
    <cellStyle name="Dane wyjściowe 2 23 8 4" xfId="15612"/>
    <cellStyle name="Dane wyjściowe 2 23 9" xfId="15613"/>
    <cellStyle name="Dane wyjściowe 2 23 9 2" xfId="15614"/>
    <cellStyle name="Dane wyjściowe 2 23 9 3" xfId="15615"/>
    <cellStyle name="Dane wyjściowe 2 23 9 4" xfId="15616"/>
    <cellStyle name="Dane wyjściowe 2 24" xfId="15617"/>
    <cellStyle name="Dane wyjściowe 2 24 10" xfId="15618"/>
    <cellStyle name="Dane wyjściowe 2 24 10 2" xfId="15619"/>
    <cellStyle name="Dane wyjściowe 2 24 10 3" xfId="15620"/>
    <cellStyle name="Dane wyjściowe 2 24 10 4" xfId="15621"/>
    <cellStyle name="Dane wyjściowe 2 24 11" xfId="15622"/>
    <cellStyle name="Dane wyjściowe 2 24 11 2" xfId="15623"/>
    <cellStyle name="Dane wyjściowe 2 24 11 3" xfId="15624"/>
    <cellStyle name="Dane wyjściowe 2 24 11 4" xfId="15625"/>
    <cellStyle name="Dane wyjściowe 2 24 12" xfId="15626"/>
    <cellStyle name="Dane wyjściowe 2 24 12 2" xfId="15627"/>
    <cellStyle name="Dane wyjściowe 2 24 12 3" xfId="15628"/>
    <cellStyle name="Dane wyjściowe 2 24 12 4" xfId="15629"/>
    <cellStyle name="Dane wyjściowe 2 24 13" xfId="15630"/>
    <cellStyle name="Dane wyjściowe 2 24 13 2" xfId="15631"/>
    <cellStyle name="Dane wyjściowe 2 24 13 3" xfId="15632"/>
    <cellStyle name="Dane wyjściowe 2 24 13 4" xfId="15633"/>
    <cellStyle name="Dane wyjściowe 2 24 14" xfId="15634"/>
    <cellStyle name="Dane wyjściowe 2 24 14 2" xfId="15635"/>
    <cellStyle name="Dane wyjściowe 2 24 14 3" xfId="15636"/>
    <cellStyle name="Dane wyjściowe 2 24 14 4" xfId="15637"/>
    <cellStyle name="Dane wyjściowe 2 24 15" xfId="15638"/>
    <cellStyle name="Dane wyjściowe 2 24 15 2" xfId="15639"/>
    <cellStyle name="Dane wyjściowe 2 24 15 3" xfId="15640"/>
    <cellStyle name="Dane wyjściowe 2 24 15 4" xfId="15641"/>
    <cellStyle name="Dane wyjściowe 2 24 16" xfId="15642"/>
    <cellStyle name="Dane wyjściowe 2 24 16 2" xfId="15643"/>
    <cellStyle name="Dane wyjściowe 2 24 16 3" xfId="15644"/>
    <cellStyle name="Dane wyjściowe 2 24 16 4" xfId="15645"/>
    <cellStyle name="Dane wyjściowe 2 24 17" xfId="15646"/>
    <cellStyle name="Dane wyjściowe 2 24 17 2" xfId="15647"/>
    <cellStyle name="Dane wyjściowe 2 24 17 3" xfId="15648"/>
    <cellStyle name="Dane wyjściowe 2 24 17 4" xfId="15649"/>
    <cellStyle name="Dane wyjściowe 2 24 18" xfId="15650"/>
    <cellStyle name="Dane wyjściowe 2 24 18 2" xfId="15651"/>
    <cellStyle name="Dane wyjściowe 2 24 18 3" xfId="15652"/>
    <cellStyle name="Dane wyjściowe 2 24 18 4" xfId="15653"/>
    <cellStyle name="Dane wyjściowe 2 24 19" xfId="15654"/>
    <cellStyle name="Dane wyjściowe 2 24 19 2" xfId="15655"/>
    <cellStyle name="Dane wyjściowe 2 24 19 3" xfId="15656"/>
    <cellStyle name="Dane wyjściowe 2 24 19 4" xfId="15657"/>
    <cellStyle name="Dane wyjściowe 2 24 2" xfId="15658"/>
    <cellStyle name="Dane wyjściowe 2 24 2 2" xfId="15659"/>
    <cellStyle name="Dane wyjściowe 2 24 2 3" xfId="15660"/>
    <cellStyle name="Dane wyjściowe 2 24 2 4" xfId="15661"/>
    <cellStyle name="Dane wyjściowe 2 24 20" xfId="15662"/>
    <cellStyle name="Dane wyjściowe 2 24 20 2" xfId="15663"/>
    <cellStyle name="Dane wyjściowe 2 24 20 3" xfId="15664"/>
    <cellStyle name="Dane wyjściowe 2 24 20 4" xfId="15665"/>
    <cellStyle name="Dane wyjściowe 2 24 21" xfId="15666"/>
    <cellStyle name="Dane wyjściowe 2 24 21 2" xfId="15667"/>
    <cellStyle name="Dane wyjściowe 2 24 21 3" xfId="15668"/>
    <cellStyle name="Dane wyjściowe 2 24 22" xfId="15669"/>
    <cellStyle name="Dane wyjściowe 2 24 22 2" xfId="15670"/>
    <cellStyle name="Dane wyjściowe 2 24 22 3" xfId="15671"/>
    <cellStyle name="Dane wyjściowe 2 24 23" xfId="15672"/>
    <cellStyle name="Dane wyjściowe 2 24 23 2" xfId="15673"/>
    <cellStyle name="Dane wyjściowe 2 24 23 3" xfId="15674"/>
    <cellStyle name="Dane wyjściowe 2 24 24" xfId="15675"/>
    <cellStyle name="Dane wyjściowe 2 24 24 2" xfId="15676"/>
    <cellStyle name="Dane wyjściowe 2 24 24 3" xfId="15677"/>
    <cellStyle name="Dane wyjściowe 2 24 25" xfId="15678"/>
    <cellStyle name="Dane wyjściowe 2 24 25 2" xfId="15679"/>
    <cellStyle name="Dane wyjściowe 2 24 25 3" xfId="15680"/>
    <cellStyle name="Dane wyjściowe 2 24 26" xfId="15681"/>
    <cellStyle name="Dane wyjściowe 2 24 26 2" xfId="15682"/>
    <cellStyle name="Dane wyjściowe 2 24 26 3" xfId="15683"/>
    <cellStyle name="Dane wyjściowe 2 24 27" xfId="15684"/>
    <cellStyle name="Dane wyjściowe 2 24 27 2" xfId="15685"/>
    <cellStyle name="Dane wyjściowe 2 24 27 3" xfId="15686"/>
    <cellStyle name="Dane wyjściowe 2 24 28" xfId="15687"/>
    <cellStyle name="Dane wyjściowe 2 24 28 2" xfId="15688"/>
    <cellStyle name="Dane wyjściowe 2 24 28 3" xfId="15689"/>
    <cellStyle name="Dane wyjściowe 2 24 29" xfId="15690"/>
    <cellStyle name="Dane wyjściowe 2 24 29 2" xfId="15691"/>
    <cellStyle name="Dane wyjściowe 2 24 29 3" xfId="15692"/>
    <cellStyle name="Dane wyjściowe 2 24 3" xfId="15693"/>
    <cellStyle name="Dane wyjściowe 2 24 3 2" xfId="15694"/>
    <cellStyle name="Dane wyjściowe 2 24 3 3" xfId="15695"/>
    <cellStyle name="Dane wyjściowe 2 24 3 4" xfId="15696"/>
    <cellStyle name="Dane wyjściowe 2 24 30" xfId="15697"/>
    <cellStyle name="Dane wyjściowe 2 24 30 2" xfId="15698"/>
    <cellStyle name="Dane wyjściowe 2 24 30 3" xfId="15699"/>
    <cellStyle name="Dane wyjściowe 2 24 31" xfId="15700"/>
    <cellStyle name="Dane wyjściowe 2 24 31 2" xfId="15701"/>
    <cellStyle name="Dane wyjściowe 2 24 31 3" xfId="15702"/>
    <cellStyle name="Dane wyjściowe 2 24 32" xfId="15703"/>
    <cellStyle name="Dane wyjściowe 2 24 32 2" xfId="15704"/>
    <cellStyle name="Dane wyjściowe 2 24 32 3" xfId="15705"/>
    <cellStyle name="Dane wyjściowe 2 24 33" xfId="15706"/>
    <cellStyle name="Dane wyjściowe 2 24 33 2" xfId="15707"/>
    <cellStyle name="Dane wyjściowe 2 24 33 3" xfId="15708"/>
    <cellStyle name="Dane wyjściowe 2 24 34" xfId="15709"/>
    <cellStyle name="Dane wyjściowe 2 24 34 2" xfId="15710"/>
    <cellStyle name="Dane wyjściowe 2 24 34 3" xfId="15711"/>
    <cellStyle name="Dane wyjściowe 2 24 35" xfId="15712"/>
    <cellStyle name="Dane wyjściowe 2 24 35 2" xfId="15713"/>
    <cellStyle name="Dane wyjściowe 2 24 35 3" xfId="15714"/>
    <cellStyle name="Dane wyjściowe 2 24 36" xfId="15715"/>
    <cellStyle name="Dane wyjściowe 2 24 36 2" xfId="15716"/>
    <cellStyle name="Dane wyjściowe 2 24 36 3" xfId="15717"/>
    <cellStyle name="Dane wyjściowe 2 24 37" xfId="15718"/>
    <cellStyle name="Dane wyjściowe 2 24 37 2" xfId="15719"/>
    <cellStyle name="Dane wyjściowe 2 24 37 3" xfId="15720"/>
    <cellStyle name="Dane wyjściowe 2 24 38" xfId="15721"/>
    <cellStyle name="Dane wyjściowe 2 24 38 2" xfId="15722"/>
    <cellStyle name="Dane wyjściowe 2 24 38 3" xfId="15723"/>
    <cellStyle name="Dane wyjściowe 2 24 39" xfId="15724"/>
    <cellStyle name="Dane wyjściowe 2 24 39 2" xfId="15725"/>
    <cellStyle name="Dane wyjściowe 2 24 39 3" xfId="15726"/>
    <cellStyle name="Dane wyjściowe 2 24 4" xfId="15727"/>
    <cellStyle name="Dane wyjściowe 2 24 4 2" xfId="15728"/>
    <cellStyle name="Dane wyjściowe 2 24 4 3" xfId="15729"/>
    <cellStyle name="Dane wyjściowe 2 24 4 4" xfId="15730"/>
    <cellStyle name="Dane wyjściowe 2 24 40" xfId="15731"/>
    <cellStyle name="Dane wyjściowe 2 24 40 2" xfId="15732"/>
    <cellStyle name="Dane wyjściowe 2 24 40 3" xfId="15733"/>
    <cellStyle name="Dane wyjściowe 2 24 41" xfId="15734"/>
    <cellStyle name="Dane wyjściowe 2 24 41 2" xfId="15735"/>
    <cellStyle name="Dane wyjściowe 2 24 41 3" xfId="15736"/>
    <cellStyle name="Dane wyjściowe 2 24 42" xfId="15737"/>
    <cellStyle name="Dane wyjściowe 2 24 42 2" xfId="15738"/>
    <cellStyle name="Dane wyjściowe 2 24 42 3" xfId="15739"/>
    <cellStyle name="Dane wyjściowe 2 24 43" xfId="15740"/>
    <cellStyle name="Dane wyjściowe 2 24 43 2" xfId="15741"/>
    <cellStyle name="Dane wyjściowe 2 24 43 3" xfId="15742"/>
    <cellStyle name="Dane wyjściowe 2 24 44" xfId="15743"/>
    <cellStyle name="Dane wyjściowe 2 24 44 2" xfId="15744"/>
    <cellStyle name="Dane wyjściowe 2 24 44 3" xfId="15745"/>
    <cellStyle name="Dane wyjściowe 2 24 45" xfId="15746"/>
    <cellStyle name="Dane wyjściowe 2 24 45 2" xfId="15747"/>
    <cellStyle name="Dane wyjściowe 2 24 45 3" xfId="15748"/>
    <cellStyle name="Dane wyjściowe 2 24 46" xfId="15749"/>
    <cellStyle name="Dane wyjściowe 2 24 46 2" xfId="15750"/>
    <cellStyle name="Dane wyjściowe 2 24 46 3" xfId="15751"/>
    <cellStyle name="Dane wyjściowe 2 24 47" xfId="15752"/>
    <cellStyle name="Dane wyjściowe 2 24 47 2" xfId="15753"/>
    <cellStyle name="Dane wyjściowe 2 24 47 3" xfId="15754"/>
    <cellStyle name="Dane wyjściowe 2 24 48" xfId="15755"/>
    <cellStyle name="Dane wyjściowe 2 24 48 2" xfId="15756"/>
    <cellStyle name="Dane wyjściowe 2 24 48 3" xfId="15757"/>
    <cellStyle name="Dane wyjściowe 2 24 49" xfId="15758"/>
    <cellStyle name="Dane wyjściowe 2 24 49 2" xfId="15759"/>
    <cellStyle name="Dane wyjściowe 2 24 49 3" xfId="15760"/>
    <cellStyle name="Dane wyjściowe 2 24 5" xfId="15761"/>
    <cellStyle name="Dane wyjściowe 2 24 5 2" xfId="15762"/>
    <cellStyle name="Dane wyjściowe 2 24 5 3" xfId="15763"/>
    <cellStyle name="Dane wyjściowe 2 24 5 4" xfId="15764"/>
    <cellStyle name="Dane wyjściowe 2 24 50" xfId="15765"/>
    <cellStyle name="Dane wyjściowe 2 24 50 2" xfId="15766"/>
    <cellStyle name="Dane wyjściowe 2 24 50 3" xfId="15767"/>
    <cellStyle name="Dane wyjściowe 2 24 51" xfId="15768"/>
    <cellStyle name="Dane wyjściowe 2 24 51 2" xfId="15769"/>
    <cellStyle name="Dane wyjściowe 2 24 51 3" xfId="15770"/>
    <cellStyle name="Dane wyjściowe 2 24 52" xfId="15771"/>
    <cellStyle name="Dane wyjściowe 2 24 52 2" xfId="15772"/>
    <cellStyle name="Dane wyjściowe 2 24 52 3" xfId="15773"/>
    <cellStyle name="Dane wyjściowe 2 24 53" xfId="15774"/>
    <cellStyle name="Dane wyjściowe 2 24 53 2" xfId="15775"/>
    <cellStyle name="Dane wyjściowe 2 24 53 3" xfId="15776"/>
    <cellStyle name="Dane wyjściowe 2 24 54" xfId="15777"/>
    <cellStyle name="Dane wyjściowe 2 24 54 2" xfId="15778"/>
    <cellStyle name="Dane wyjściowe 2 24 54 3" xfId="15779"/>
    <cellStyle name="Dane wyjściowe 2 24 55" xfId="15780"/>
    <cellStyle name="Dane wyjściowe 2 24 55 2" xfId="15781"/>
    <cellStyle name="Dane wyjściowe 2 24 55 3" xfId="15782"/>
    <cellStyle name="Dane wyjściowe 2 24 56" xfId="15783"/>
    <cellStyle name="Dane wyjściowe 2 24 56 2" xfId="15784"/>
    <cellStyle name="Dane wyjściowe 2 24 56 3" xfId="15785"/>
    <cellStyle name="Dane wyjściowe 2 24 57" xfId="15786"/>
    <cellStyle name="Dane wyjściowe 2 24 58" xfId="15787"/>
    <cellStyle name="Dane wyjściowe 2 24 6" xfId="15788"/>
    <cellStyle name="Dane wyjściowe 2 24 6 2" xfId="15789"/>
    <cellStyle name="Dane wyjściowe 2 24 6 3" xfId="15790"/>
    <cellStyle name="Dane wyjściowe 2 24 6 4" xfId="15791"/>
    <cellStyle name="Dane wyjściowe 2 24 7" xfId="15792"/>
    <cellStyle name="Dane wyjściowe 2 24 7 2" xfId="15793"/>
    <cellStyle name="Dane wyjściowe 2 24 7 3" xfId="15794"/>
    <cellStyle name="Dane wyjściowe 2 24 7 4" xfId="15795"/>
    <cellStyle name="Dane wyjściowe 2 24 8" xfId="15796"/>
    <cellStyle name="Dane wyjściowe 2 24 8 2" xfId="15797"/>
    <cellStyle name="Dane wyjściowe 2 24 8 3" xfId="15798"/>
    <cellStyle name="Dane wyjściowe 2 24 8 4" xfId="15799"/>
    <cellStyle name="Dane wyjściowe 2 24 9" xfId="15800"/>
    <cellStyle name="Dane wyjściowe 2 24 9 2" xfId="15801"/>
    <cellStyle name="Dane wyjściowe 2 24 9 3" xfId="15802"/>
    <cellStyle name="Dane wyjściowe 2 24 9 4" xfId="15803"/>
    <cellStyle name="Dane wyjściowe 2 25" xfId="15804"/>
    <cellStyle name="Dane wyjściowe 2 25 10" xfId="15805"/>
    <cellStyle name="Dane wyjściowe 2 25 10 2" xfId="15806"/>
    <cellStyle name="Dane wyjściowe 2 25 10 3" xfId="15807"/>
    <cellStyle name="Dane wyjściowe 2 25 10 4" xfId="15808"/>
    <cellStyle name="Dane wyjściowe 2 25 11" xfId="15809"/>
    <cellStyle name="Dane wyjściowe 2 25 11 2" xfId="15810"/>
    <cellStyle name="Dane wyjściowe 2 25 11 3" xfId="15811"/>
    <cellStyle name="Dane wyjściowe 2 25 11 4" xfId="15812"/>
    <cellStyle name="Dane wyjściowe 2 25 12" xfId="15813"/>
    <cellStyle name="Dane wyjściowe 2 25 12 2" xfId="15814"/>
    <cellStyle name="Dane wyjściowe 2 25 12 3" xfId="15815"/>
    <cellStyle name="Dane wyjściowe 2 25 12 4" xfId="15816"/>
    <cellStyle name="Dane wyjściowe 2 25 13" xfId="15817"/>
    <cellStyle name="Dane wyjściowe 2 25 13 2" xfId="15818"/>
    <cellStyle name="Dane wyjściowe 2 25 13 3" xfId="15819"/>
    <cellStyle name="Dane wyjściowe 2 25 13 4" xfId="15820"/>
    <cellStyle name="Dane wyjściowe 2 25 14" xfId="15821"/>
    <cellStyle name="Dane wyjściowe 2 25 14 2" xfId="15822"/>
    <cellStyle name="Dane wyjściowe 2 25 14 3" xfId="15823"/>
    <cellStyle name="Dane wyjściowe 2 25 14 4" xfId="15824"/>
    <cellStyle name="Dane wyjściowe 2 25 15" xfId="15825"/>
    <cellStyle name="Dane wyjściowe 2 25 15 2" xfId="15826"/>
    <cellStyle name="Dane wyjściowe 2 25 15 3" xfId="15827"/>
    <cellStyle name="Dane wyjściowe 2 25 15 4" xfId="15828"/>
    <cellStyle name="Dane wyjściowe 2 25 16" xfId="15829"/>
    <cellStyle name="Dane wyjściowe 2 25 16 2" xfId="15830"/>
    <cellStyle name="Dane wyjściowe 2 25 16 3" xfId="15831"/>
    <cellStyle name="Dane wyjściowe 2 25 16 4" xfId="15832"/>
    <cellStyle name="Dane wyjściowe 2 25 17" xfId="15833"/>
    <cellStyle name="Dane wyjściowe 2 25 17 2" xfId="15834"/>
    <cellStyle name="Dane wyjściowe 2 25 17 3" xfId="15835"/>
    <cellStyle name="Dane wyjściowe 2 25 17 4" xfId="15836"/>
    <cellStyle name="Dane wyjściowe 2 25 18" xfId="15837"/>
    <cellStyle name="Dane wyjściowe 2 25 18 2" xfId="15838"/>
    <cellStyle name="Dane wyjściowe 2 25 18 3" xfId="15839"/>
    <cellStyle name="Dane wyjściowe 2 25 18 4" xfId="15840"/>
    <cellStyle name="Dane wyjściowe 2 25 19" xfId="15841"/>
    <cellStyle name="Dane wyjściowe 2 25 19 2" xfId="15842"/>
    <cellStyle name="Dane wyjściowe 2 25 19 3" xfId="15843"/>
    <cellStyle name="Dane wyjściowe 2 25 19 4" xfId="15844"/>
    <cellStyle name="Dane wyjściowe 2 25 2" xfId="15845"/>
    <cellStyle name="Dane wyjściowe 2 25 2 2" xfId="15846"/>
    <cellStyle name="Dane wyjściowe 2 25 2 3" xfId="15847"/>
    <cellStyle name="Dane wyjściowe 2 25 2 4" xfId="15848"/>
    <cellStyle name="Dane wyjściowe 2 25 20" xfId="15849"/>
    <cellStyle name="Dane wyjściowe 2 25 20 2" xfId="15850"/>
    <cellStyle name="Dane wyjściowe 2 25 20 3" xfId="15851"/>
    <cellStyle name="Dane wyjściowe 2 25 20 4" xfId="15852"/>
    <cellStyle name="Dane wyjściowe 2 25 21" xfId="15853"/>
    <cellStyle name="Dane wyjściowe 2 25 21 2" xfId="15854"/>
    <cellStyle name="Dane wyjściowe 2 25 21 3" xfId="15855"/>
    <cellStyle name="Dane wyjściowe 2 25 22" xfId="15856"/>
    <cellStyle name="Dane wyjściowe 2 25 22 2" xfId="15857"/>
    <cellStyle name="Dane wyjściowe 2 25 22 3" xfId="15858"/>
    <cellStyle name="Dane wyjściowe 2 25 23" xfId="15859"/>
    <cellStyle name="Dane wyjściowe 2 25 23 2" xfId="15860"/>
    <cellStyle name="Dane wyjściowe 2 25 23 3" xfId="15861"/>
    <cellStyle name="Dane wyjściowe 2 25 24" xfId="15862"/>
    <cellStyle name="Dane wyjściowe 2 25 24 2" xfId="15863"/>
    <cellStyle name="Dane wyjściowe 2 25 24 3" xfId="15864"/>
    <cellStyle name="Dane wyjściowe 2 25 25" xfId="15865"/>
    <cellStyle name="Dane wyjściowe 2 25 25 2" xfId="15866"/>
    <cellStyle name="Dane wyjściowe 2 25 25 3" xfId="15867"/>
    <cellStyle name="Dane wyjściowe 2 25 26" xfId="15868"/>
    <cellStyle name="Dane wyjściowe 2 25 26 2" xfId="15869"/>
    <cellStyle name="Dane wyjściowe 2 25 26 3" xfId="15870"/>
    <cellStyle name="Dane wyjściowe 2 25 27" xfId="15871"/>
    <cellStyle name="Dane wyjściowe 2 25 27 2" xfId="15872"/>
    <cellStyle name="Dane wyjściowe 2 25 27 3" xfId="15873"/>
    <cellStyle name="Dane wyjściowe 2 25 28" xfId="15874"/>
    <cellStyle name="Dane wyjściowe 2 25 28 2" xfId="15875"/>
    <cellStyle name="Dane wyjściowe 2 25 28 3" xfId="15876"/>
    <cellStyle name="Dane wyjściowe 2 25 29" xfId="15877"/>
    <cellStyle name="Dane wyjściowe 2 25 29 2" xfId="15878"/>
    <cellStyle name="Dane wyjściowe 2 25 29 3" xfId="15879"/>
    <cellStyle name="Dane wyjściowe 2 25 3" xfId="15880"/>
    <cellStyle name="Dane wyjściowe 2 25 3 2" xfId="15881"/>
    <cellStyle name="Dane wyjściowe 2 25 3 3" xfId="15882"/>
    <cellStyle name="Dane wyjściowe 2 25 3 4" xfId="15883"/>
    <cellStyle name="Dane wyjściowe 2 25 30" xfId="15884"/>
    <cellStyle name="Dane wyjściowe 2 25 30 2" xfId="15885"/>
    <cellStyle name="Dane wyjściowe 2 25 30 3" xfId="15886"/>
    <cellStyle name="Dane wyjściowe 2 25 31" xfId="15887"/>
    <cellStyle name="Dane wyjściowe 2 25 31 2" xfId="15888"/>
    <cellStyle name="Dane wyjściowe 2 25 31 3" xfId="15889"/>
    <cellStyle name="Dane wyjściowe 2 25 32" xfId="15890"/>
    <cellStyle name="Dane wyjściowe 2 25 32 2" xfId="15891"/>
    <cellStyle name="Dane wyjściowe 2 25 32 3" xfId="15892"/>
    <cellStyle name="Dane wyjściowe 2 25 33" xfId="15893"/>
    <cellStyle name="Dane wyjściowe 2 25 33 2" xfId="15894"/>
    <cellStyle name="Dane wyjściowe 2 25 33 3" xfId="15895"/>
    <cellStyle name="Dane wyjściowe 2 25 34" xfId="15896"/>
    <cellStyle name="Dane wyjściowe 2 25 34 2" xfId="15897"/>
    <cellStyle name="Dane wyjściowe 2 25 34 3" xfId="15898"/>
    <cellStyle name="Dane wyjściowe 2 25 35" xfId="15899"/>
    <cellStyle name="Dane wyjściowe 2 25 35 2" xfId="15900"/>
    <cellStyle name="Dane wyjściowe 2 25 35 3" xfId="15901"/>
    <cellStyle name="Dane wyjściowe 2 25 36" xfId="15902"/>
    <cellStyle name="Dane wyjściowe 2 25 36 2" xfId="15903"/>
    <cellStyle name="Dane wyjściowe 2 25 36 3" xfId="15904"/>
    <cellStyle name="Dane wyjściowe 2 25 37" xfId="15905"/>
    <cellStyle name="Dane wyjściowe 2 25 37 2" xfId="15906"/>
    <cellStyle name="Dane wyjściowe 2 25 37 3" xfId="15907"/>
    <cellStyle name="Dane wyjściowe 2 25 38" xfId="15908"/>
    <cellStyle name="Dane wyjściowe 2 25 38 2" xfId="15909"/>
    <cellStyle name="Dane wyjściowe 2 25 38 3" xfId="15910"/>
    <cellStyle name="Dane wyjściowe 2 25 39" xfId="15911"/>
    <cellStyle name="Dane wyjściowe 2 25 39 2" xfId="15912"/>
    <cellStyle name="Dane wyjściowe 2 25 39 3" xfId="15913"/>
    <cellStyle name="Dane wyjściowe 2 25 4" xfId="15914"/>
    <cellStyle name="Dane wyjściowe 2 25 4 2" xfId="15915"/>
    <cellStyle name="Dane wyjściowe 2 25 4 3" xfId="15916"/>
    <cellStyle name="Dane wyjściowe 2 25 4 4" xfId="15917"/>
    <cellStyle name="Dane wyjściowe 2 25 40" xfId="15918"/>
    <cellStyle name="Dane wyjściowe 2 25 40 2" xfId="15919"/>
    <cellStyle name="Dane wyjściowe 2 25 40 3" xfId="15920"/>
    <cellStyle name="Dane wyjściowe 2 25 41" xfId="15921"/>
    <cellStyle name="Dane wyjściowe 2 25 41 2" xfId="15922"/>
    <cellStyle name="Dane wyjściowe 2 25 41 3" xfId="15923"/>
    <cellStyle name="Dane wyjściowe 2 25 42" xfId="15924"/>
    <cellStyle name="Dane wyjściowe 2 25 42 2" xfId="15925"/>
    <cellStyle name="Dane wyjściowe 2 25 42 3" xfId="15926"/>
    <cellStyle name="Dane wyjściowe 2 25 43" xfId="15927"/>
    <cellStyle name="Dane wyjściowe 2 25 43 2" xfId="15928"/>
    <cellStyle name="Dane wyjściowe 2 25 43 3" xfId="15929"/>
    <cellStyle name="Dane wyjściowe 2 25 44" xfId="15930"/>
    <cellStyle name="Dane wyjściowe 2 25 44 2" xfId="15931"/>
    <cellStyle name="Dane wyjściowe 2 25 44 3" xfId="15932"/>
    <cellStyle name="Dane wyjściowe 2 25 45" xfId="15933"/>
    <cellStyle name="Dane wyjściowe 2 25 45 2" xfId="15934"/>
    <cellStyle name="Dane wyjściowe 2 25 45 3" xfId="15935"/>
    <cellStyle name="Dane wyjściowe 2 25 46" xfId="15936"/>
    <cellStyle name="Dane wyjściowe 2 25 46 2" xfId="15937"/>
    <cellStyle name="Dane wyjściowe 2 25 46 3" xfId="15938"/>
    <cellStyle name="Dane wyjściowe 2 25 47" xfId="15939"/>
    <cellStyle name="Dane wyjściowe 2 25 47 2" xfId="15940"/>
    <cellStyle name="Dane wyjściowe 2 25 47 3" xfId="15941"/>
    <cellStyle name="Dane wyjściowe 2 25 48" xfId="15942"/>
    <cellStyle name="Dane wyjściowe 2 25 48 2" xfId="15943"/>
    <cellStyle name="Dane wyjściowe 2 25 48 3" xfId="15944"/>
    <cellStyle name="Dane wyjściowe 2 25 49" xfId="15945"/>
    <cellStyle name="Dane wyjściowe 2 25 49 2" xfId="15946"/>
    <cellStyle name="Dane wyjściowe 2 25 49 3" xfId="15947"/>
    <cellStyle name="Dane wyjściowe 2 25 5" xfId="15948"/>
    <cellStyle name="Dane wyjściowe 2 25 5 2" xfId="15949"/>
    <cellStyle name="Dane wyjściowe 2 25 5 3" xfId="15950"/>
    <cellStyle name="Dane wyjściowe 2 25 5 4" xfId="15951"/>
    <cellStyle name="Dane wyjściowe 2 25 50" xfId="15952"/>
    <cellStyle name="Dane wyjściowe 2 25 50 2" xfId="15953"/>
    <cellStyle name="Dane wyjściowe 2 25 50 3" xfId="15954"/>
    <cellStyle name="Dane wyjściowe 2 25 51" xfId="15955"/>
    <cellStyle name="Dane wyjściowe 2 25 51 2" xfId="15956"/>
    <cellStyle name="Dane wyjściowe 2 25 51 3" xfId="15957"/>
    <cellStyle name="Dane wyjściowe 2 25 52" xfId="15958"/>
    <cellStyle name="Dane wyjściowe 2 25 52 2" xfId="15959"/>
    <cellStyle name="Dane wyjściowe 2 25 52 3" xfId="15960"/>
    <cellStyle name="Dane wyjściowe 2 25 53" xfId="15961"/>
    <cellStyle name="Dane wyjściowe 2 25 53 2" xfId="15962"/>
    <cellStyle name="Dane wyjściowe 2 25 53 3" xfId="15963"/>
    <cellStyle name="Dane wyjściowe 2 25 54" xfId="15964"/>
    <cellStyle name="Dane wyjściowe 2 25 54 2" xfId="15965"/>
    <cellStyle name="Dane wyjściowe 2 25 54 3" xfId="15966"/>
    <cellStyle name="Dane wyjściowe 2 25 55" xfId="15967"/>
    <cellStyle name="Dane wyjściowe 2 25 55 2" xfId="15968"/>
    <cellStyle name="Dane wyjściowe 2 25 55 3" xfId="15969"/>
    <cellStyle name="Dane wyjściowe 2 25 56" xfId="15970"/>
    <cellStyle name="Dane wyjściowe 2 25 56 2" xfId="15971"/>
    <cellStyle name="Dane wyjściowe 2 25 56 3" xfId="15972"/>
    <cellStyle name="Dane wyjściowe 2 25 57" xfId="15973"/>
    <cellStyle name="Dane wyjściowe 2 25 58" xfId="15974"/>
    <cellStyle name="Dane wyjściowe 2 25 6" xfId="15975"/>
    <cellStyle name="Dane wyjściowe 2 25 6 2" xfId="15976"/>
    <cellStyle name="Dane wyjściowe 2 25 6 3" xfId="15977"/>
    <cellStyle name="Dane wyjściowe 2 25 6 4" xfId="15978"/>
    <cellStyle name="Dane wyjściowe 2 25 7" xfId="15979"/>
    <cellStyle name="Dane wyjściowe 2 25 7 2" xfId="15980"/>
    <cellStyle name="Dane wyjściowe 2 25 7 3" xfId="15981"/>
    <cellStyle name="Dane wyjściowe 2 25 7 4" xfId="15982"/>
    <cellStyle name="Dane wyjściowe 2 25 8" xfId="15983"/>
    <cellStyle name="Dane wyjściowe 2 25 8 2" xfId="15984"/>
    <cellStyle name="Dane wyjściowe 2 25 8 3" xfId="15985"/>
    <cellStyle name="Dane wyjściowe 2 25 8 4" xfId="15986"/>
    <cellStyle name="Dane wyjściowe 2 25 9" xfId="15987"/>
    <cellStyle name="Dane wyjściowe 2 25 9 2" xfId="15988"/>
    <cellStyle name="Dane wyjściowe 2 25 9 3" xfId="15989"/>
    <cellStyle name="Dane wyjściowe 2 25 9 4" xfId="15990"/>
    <cellStyle name="Dane wyjściowe 2 26" xfId="15991"/>
    <cellStyle name="Dane wyjściowe 2 26 10" xfId="15992"/>
    <cellStyle name="Dane wyjściowe 2 26 10 2" xfId="15993"/>
    <cellStyle name="Dane wyjściowe 2 26 10 3" xfId="15994"/>
    <cellStyle name="Dane wyjściowe 2 26 10 4" xfId="15995"/>
    <cellStyle name="Dane wyjściowe 2 26 11" xfId="15996"/>
    <cellStyle name="Dane wyjściowe 2 26 11 2" xfId="15997"/>
    <cellStyle name="Dane wyjściowe 2 26 11 3" xfId="15998"/>
    <cellStyle name="Dane wyjściowe 2 26 11 4" xfId="15999"/>
    <cellStyle name="Dane wyjściowe 2 26 12" xfId="16000"/>
    <cellStyle name="Dane wyjściowe 2 26 12 2" xfId="16001"/>
    <cellStyle name="Dane wyjściowe 2 26 12 3" xfId="16002"/>
    <cellStyle name="Dane wyjściowe 2 26 12 4" xfId="16003"/>
    <cellStyle name="Dane wyjściowe 2 26 13" xfId="16004"/>
    <cellStyle name="Dane wyjściowe 2 26 13 2" xfId="16005"/>
    <cellStyle name="Dane wyjściowe 2 26 13 3" xfId="16006"/>
    <cellStyle name="Dane wyjściowe 2 26 13 4" xfId="16007"/>
    <cellStyle name="Dane wyjściowe 2 26 14" xfId="16008"/>
    <cellStyle name="Dane wyjściowe 2 26 14 2" xfId="16009"/>
    <cellStyle name="Dane wyjściowe 2 26 14 3" xfId="16010"/>
    <cellStyle name="Dane wyjściowe 2 26 14 4" xfId="16011"/>
    <cellStyle name="Dane wyjściowe 2 26 15" xfId="16012"/>
    <cellStyle name="Dane wyjściowe 2 26 15 2" xfId="16013"/>
    <cellStyle name="Dane wyjściowe 2 26 15 3" xfId="16014"/>
    <cellStyle name="Dane wyjściowe 2 26 15 4" xfId="16015"/>
    <cellStyle name="Dane wyjściowe 2 26 16" xfId="16016"/>
    <cellStyle name="Dane wyjściowe 2 26 16 2" xfId="16017"/>
    <cellStyle name="Dane wyjściowe 2 26 16 3" xfId="16018"/>
    <cellStyle name="Dane wyjściowe 2 26 16 4" xfId="16019"/>
    <cellStyle name="Dane wyjściowe 2 26 17" xfId="16020"/>
    <cellStyle name="Dane wyjściowe 2 26 17 2" xfId="16021"/>
    <cellStyle name="Dane wyjściowe 2 26 17 3" xfId="16022"/>
    <cellStyle name="Dane wyjściowe 2 26 17 4" xfId="16023"/>
    <cellStyle name="Dane wyjściowe 2 26 18" xfId="16024"/>
    <cellStyle name="Dane wyjściowe 2 26 18 2" xfId="16025"/>
    <cellStyle name="Dane wyjściowe 2 26 18 3" xfId="16026"/>
    <cellStyle name="Dane wyjściowe 2 26 18 4" xfId="16027"/>
    <cellStyle name="Dane wyjściowe 2 26 19" xfId="16028"/>
    <cellStyle name="Dane wyjściowe 2 26 19 2" xfId="16029"/>
    <cellStyle name="Dane wyjściowe 2 26 19 3" xfId="16030"/>
    <cellStyle name="Dane wyjściowe 2 26 19 4" xfId="16031"/>
    <cellStyle name="Dane wyjściowe 2 26 2" xfId="16032"/>
    <cellStyle name="Dane wyjściowe 2 26 2 2" xfId="16033"/>
    <cellStyle name="Dane wyjściowe 2 26 2 3" xfId="16034"/>
    <cellStyle name="Dane wyjściowe 2 26 2 4" xfId="16035"/>
    <cellStyle name="Dane wyjściowe 2 26 20" xfId="16036"/>
    <cellStyle name="Dane wyjściowe 2 26 20 2" xfId="16037"/>
    <cellStyle name="Dane wyjściowe 2 26 20 3" xfId="16038"/>
    <cellStyle name="Dane wyjściowe 2 26 20 4" xfId="16039"/>
    <cellStyle name="Dane wyjściowe 2 26 21" xfId="16040"/>
    <cellStyle name="Dane wyjściowe 2 26 21 2" xfId="16041"/>
    <cellStyle name="Dane wyjściowe 2 26 21 3" xfId="16042"/>
    <cellStyle name="Dane wyjściowe 2 26 22" xfId="16043"/>
    <cellStyle name="Dane wyjściowe 2 26 22 2" xfId="16044"/>
    <cellStyle name="Dane wyjściowe 2 26 22 3" xfId="16045"/>
    <cellStyle name="Dane wyjściowe 2 26 23" xfId="16046"/>
    <cellStyle name="Dane wyjściowe 2 26 23 2" xfId="16047"/>
    <cellStyle name="Dane wyjściowe 2 26 23 3" xfId="16048"/>
    <cellStyle name="Dane wyjściowe 2 26 24" xfId="16049"/>
    <cellStyle name="Dane wyjściowe 2 26 24 2" xfId="16050"/>
    <cellStyle name="Dane wyjściowe 2 26 24 3" xfId="16051"/>
    <cellStyle name="Dane wyjściowe 2 26 25" xfId="16052"/>
    <cellStyle name="Dane wyjściowe 2 26 25 2" xfId="16053"/>
    <cellStyle name="Dane wyjściowe 2 26 25 3" xfId="16054"/>
    <cellStyle name="Dane wyjściowe 2 26 26" xfId="16055"/>
    <cellStyle name="Dane wyjściowe 2 26 26 2" xfId="16056"/>
    <cellStyle name="Dane wyjściowe 2 26 26 3" xfId="16057"/>
    <cellStyle name="Dane wyjściowe 2 26 27" xfId="16058"/>
    <cellStyle name="Dane wyjściowe 2 26 27 2" xfId="16059"/>
    <cellStyle name="Dane wyjściowe 2 26 27 3" xfId="16060"/>
    <cellStyle name="Dane wyjściowe 2 26 28" xfId="16061"/>
    <cellStyle name="Dane wyjściowe 2 26 28 2" xfId="16062"/>
    <cellStyle name="Dane wyjściowe 2 26 28 3" xfId="16063"/>
    <cellStyle name="Dane wyjściowe 2 26 29" xfId="16064"/>
    <cellStyle name="Dane wyjściowe 2 26 29 2" xfId="16065"/>
    <cellStyle name="Dane wyjściowe 2 26 29 3" xfId="16066"/>
    <cellStyle name="Dane wyjściowe 2 26 3" xfId="16067"/>
    <cellStyle name="Dane wyjściowe 2 26 3 2" xfId="16068"/>
    <cellStyle name="Dane wyjściowe 2 26 3 3" xfId="16069"/>
    <cellStyle name="Dane wyjściowe 2 26 3 4" xfId="16070"/>
    <cellStyle name="Dane wyjściowe 2 26 30" xfId="16071"/>
    <cellStyle name="Dane wyjściowe 2 26 30 2" xfId="16072"/>
    <cellStyle name="Dane wyjściowe 2 26 30 3" xfId="16073"/>
    <cellStyle name="Dane wyjściowe 2 26 31" xfId="16074"/>
    <cellStyle name="Dane wyjściowe 2 26 31 2" xfId="16075"/>
    <cellStyle name="Dane wyjściowe 2 26 31 3" xfId="16076"/>
    <cellStyle name="Dane wyjściowe 2 26 32" xfId="16077"/>
    <cellStyle name="Dane wyjściowe 2 26 32 2" xfId="16078"/>
    <cellStyle name="Dane wyjściowe 2 26 32 3" xfId="16079"/>
    <cellStyle name="Dane wyjściowe 2 26 33" xfId="16080"/>
    <cellStyle name="Dane wyjściowe 2 26 33 2" xfId="16081"/>
    <cellStyle name="Dane wyjściowe 2 26 33 3" xfId="16082"/>
    <cellStyle name="Dane wyjściowe 2 26 34" xfId="16083"/>
    <cellStyle name="Dane wyjściowe 2 26 34 2" xfId="16084"/>
    <cellStyle name="Dane wyjściowe 2 26 34 3" xfId="16085"/>
    <cellStyle name="Dane wyjściowe 2 26 35" xfId="16086"/>
    <cellStyle name="Dane wyjściowe 2 26 35 2" xfId="16087"/>
    <cellStyle name="Dane wyjściowe 2 26 35 3" xfId="16088"/>
    <cellStyle name="Dane wyjściowe 2 26 36" xfId="16089"/>
    <cellStyle name="Dane wyjściowe 2 26 36 2" xfId="16090"/>
    <cellStyle name="Dane wyjściowe 2 26 36 3" xfId="16091"/>
    <cellStyle name="Dane wyjściowe 2 26 37" xfId="16092"/>
    <cellStyle name="Dane wyjściowe 2 26 37 2" xfId="16093"/>
    <cellStyle name="Dane wyjściowe 2 26 37 3" xfId="16094"/>
    <cellStyle name="Dane wyjściowe 2 26 38" xfId="16095"/>
    <cellStyle name="Dane wyjściowe 2 26 38 2" xfId="16096"/>
    <cellStyle name="Dane wyjściowe 2 26 38 3" xfId="16097"/>
    <cellStyle name="Dane wyjściowe 2 26 39" xfId="16098"/>
    <cellStyle name="Dane wyjściowe 2 26 39 2" xfId="16099"/>
    <cellStyle name="Dane wyjściowe 2 26 39 3" xfId="16100"/>
    <cellStyle name="Dane wyjściowe 2 26 4" xfId="16101"/>
    <cellStyle name="Dane wyjściowe 2 26 4 2" xfId="16102"/>
    <cellStyle name="Dane wyjściowe 2 26 4 3" xfId="16103"/>
    <cellStyle name="Dane wyjściowe 2 26 4 4" xfId="16104"/>
    <cellStyle name="Dane wyjściowe 2 26 40" xfId="16105"/>
    <cellStyle name="Dane wyjściowe 2 26 40 2" xfId="16106"/>
    <cellStyle name="Dane wyjściowe 2 26 40 3" xfId="16107"/>
    <cellStyle name="Dane wyjściowe 2 26 41" xfId="16108"/>
    <cellStyle name="Dane wyjściowe 2 26 41 2" xfId="16109"/>
    <cellStyle name="Dane wyjściowe 2 26 41 3" xfId="16110"/>
    <cellStyle name="Dane wyjściowe 2 26 42" xfId="16111"/>
    <cellStyle name="Dane wyjściowe 2 26 42 2" xfId="16112"/>
    <cellStyle name="Dane wyjściowe 2 26 42 3" xfId="16113"/>
    <cellStyle name="Dane wyjściowe 2 26 43" xfId="16114"/>
    <cellStyle name="Dane wyjściowe 2 26 43 2" xfId="16115"/>
    <cellStyle name="Dane wyjściowe 2 26 43 3" xfId="16116"/>
    <cellStyle name="Dane wyjściowe 2 26 44" xfId="16117"/>
    <cellStyle name="Dane wyjściowe 2 26 44 2" xfId="16118"/>
    <cellStyle name="Dane wyjściowe 2 26 44 3" xfId="16119"/>
    <cellStyle name="Dane wyjściowe 2 26 45" xfId="16120"/>
    <cellStyle name="Dane wyjściowe 2 26 45 2" xfId="16121"/>
    <cellStyle name="Dane wyjściowe 2 26 45 3" xfId="16122"/>
    <cellStyle name="Dane wyjściowe 2 26 46" xfId="16123"/>
    <cellStyle name="Dane wyjściowe 2 26 46 2" xfId="16124"/>
    <cellStyle name="Dane wyjściowe 2 26 46 3" xfId="16125"/>
    <cellStyle name="Dane wyjściowe 2 26 47" xfId="16126"/>
    <cellStyle name="Dane wyjściowe 2 26 47 2" xfId="16127"/>
    <cellStyle name="Dane wyjściowe 2 26 47 3" xfId="16128"/>
    <cellStyle name="Dane wyjściowe 2 26 48" xfId="16129"/>
    <cellStyle name="Dane wyjściowe 2 26 48 2" xfId="16130"/>
    <cellStyle name="Dane wyjściowe 2 26 48 3" xfId="16131"/>
    <cellStyle name="Dane wyjściowe 2 26 49" xfId="16132"/>
    <cellStyle name="Dane wyjściowe 2 26 49 2" xfId="16133"/>
    <cellStyle name="Dane wyjściowe 2 26 49 3" xfId="16134"/>
    <cellStyle name="Dane wyjściowe 2 26 5" xfId="16135"/>
    <cellStyle name="Dane wyjściowe 2 26 5 2" xfId="16136"/>
    <cellStyle name="Dane wyjściowe 2 26 5 3" xfId="16137"/>
    <cellStyle name="Dane wyjściowe 2 26 5 4" xfId="16138"/>
    <cellStyle name="Dane wyjściowe 2 26 50" xfId="16139"/>
    <cellStyle name="Dane wyjściowe 2 26 50 2" xfId="16140"/>
    <cellStyle name="Dane wyjściowe 2 26 50 3" xfId="16141"/>
    <cellStyle name="Dane wyjściowe 2 26 51" xfId="16142"/>
    <cellStyle name="Dane wyjściowe 2 26 51 2" xfId="16143"/>
    <cellStyle name="Dane wyjściowe 2 26 51 3" xfId="16144"/>
    <cellStyle name="Dane wyjściowe 2 26 52" xfId="16145"/>
    <cellStyle name="Dane wyjściowe 2 26 52 2" xfId="16146"/>
    <cellStyle name="Dane wyjściowe 2 26 52 3" xfId="16147"/>
    <cellStyle name="Dane wyjściowe 2 26 53" xfId="16148"/>
    <cellStyle name="Dane wyjściowe 2 26 53 2" xfId="16149"/>
    <cellStyle name="Dane wyjściowe 2 26 53 3" xfId="16150"/>
    <cellStyle name="Dane wyjściowe 2 26 54" xfId="16151"/>
    <cellStyle name="Dane wyjściowe 2 26 54 2" xfId="16152"/>
    <cellStyle name="Dane wyjściowe 2 26 54 3" xfId="16153"/>
    <cellStyle name="Dane wyjściowe 2 26 55" xfId="16154"/>
    <cellStyle name="Dane wyjściowe 2 26 55 2" xfId="16155"/>
    <cellStyle name="Dane wyjściowe 2 26 55 3" xfId="16156"/>
    <cellStyle name="Dane wyjściowe 2 26 56" xfId="16157"/>
    <cellStyle name="Dane wyjściowe 2 26 56 2" xfId="16158"/>
    <cellStyle name="Dane wyjściowe 2 26 56 3" xfId="16159"/>
    <cellStyle name="Dane wyjściowe 2 26 57" xfId="16160"/>
    <cellStyle name="Dane wyjściowe 2 26 58" xfId="16161"/>
    <cellStyle name="Dane wyjściowe 2 26 6" xfId="16162"/>
    <cellStyle name="Dane wyjściowe 2 26 6 2" xfId="16163"/>
    <cellStyle name="Dane wyjściowe 2 26 6 3" xfId="16164"/>
    <cellStyle name="Dane wyjściowe 2 26 6 4" xfId="16165"/>
    <cellStyle name="Dane wyjściowe 2 26 7" xfId="16166"/>
    <cellStyle name="Dane wyjściowe 2 26 7 2" xfId="16167"/>
    <cellStyle name="Dane wyjściowe 2 26 7 3" xfId="16168"/>
    <cellStyle name="Dane wyjściowe 2 26 7 4" xfId="16169"/>
    <cellStyle name="Dane wyjściowe 2 26 8" xfId="16170"/>
    <cellStyle name="Dane wyjściowe 2 26 8 2" xfId="16171"/>
    <cellStyle name="Dane wyjściowe 2 26 8 3" xfId="16172"/>
    <cellStyle name="Dane wyjściowe 2 26 8 4" xfId="16173"/>
    <cellStyle name="Dane wyjściowe 2 26 9" xfId="16174"/>
    <cellStyle name="Dane wyjściowe 2 26 9 2" xfId="16175"/>
    <cellStyle name="Dane wyjściowe 2 26 9 3" xfId="16176"/>
    <cellStyle name="Dane wyjściowe 2 26 9 4" xfId="16177"/>
    <cellStyle name="Dane wyjściowe 2 27" xfId="16178"/>
    <cellStyle name="Dane wyjściowe 2 27 10" xfId="16179"/>
    <cellStyle name="Dane wyjściowe 2 27 10 2" xfId="16180"/>
    <cellStyle name="Dane wyjściowe 2 27 10 3" xfId="16181"/>
    <cellStyle name="Dane wyjściowe 2 27 10 4" xfId="16182"/>
    <cellStyle name="Dane wyjściowe 2 27 11" xfId="16183"/>
    <cellStyle name="Dane wyjściowe 2 27 11 2" xfId="16184"/>
    <cellStyle name="Dane wyjściowe 2 27 11 3" xfId="16185"/>
    <cellStyle name="Dane wyjściowe 2 27 11 4" xfId="16186"/>
    <cellStyle name="Dane wyjściowe 2 27 12" xfId="16187"/>
    <cellStyle name="Dane wyjściowe 2 27 12 2" xfId="16188"/>
    <cellStyle name="Dane wyjściowe 2 27 12 3" xfId="16189"/>
    <cellStyle name="Dane wyjściowe 2 27 12 4" xfId="16190"/>
    <cellStyle name="Dane wyjściowe 2 27 13" xfId="16191"/>
    <cellStyle name="Dane wyjściowe 2 27 13 2" xfId="16192"/>
    <cellStyle name="Dane wyjściowe 2 27 13 3" xfId="16193"/>
    <cellStyle name="Dane wyjściowe 2 27 13 4" xfId="16194"/>
    <cellStyle name="Dane wyjściowe 2 27 14" xfId="16195"/>
    <cellStyle name="Dane wyjściowe 2 27 14 2" xfId="16196"/>
    <cellStyle name="Dane wyjściowe 2 27 14 3" xfId="16197"/>
    <cellStyle name="Dane wyjściowe 2 27 14 4" xfId="16198"/>
    <cellStyle name="Dane wyjściowe 2 27 15" xfId="16199"/>
    <cellStyle name="Dane wyjściowe 2 27 15 2" xfId="16200"/>
    <cellStyle name="Dane wyjściowe 2 27 15 3" xfId="16201"/>
    <cellStyle name="Dane wyjściowe 2 27 15 4" xfId="16202"/>
    <cellStyle name="Dane wyjściowe 2 27 16" xfId="16203"/>
    <cellStyle name="Dane wyjściowe 2 27 16 2" xfId="16204"/>
    <cellStyle name="Dane wyjściowe 2 27 16 3" xfId="16205"/>
    <cellStyle name="Dane wyjściowe 2 27 16 4" xfId="16206"/>
    <cellStyle name="Dane wyjściowe 2 27 17" xfId="16207"/>
    <cellStyle name="Dane wyjściowe 2 27 17 2" xfId="16208"/>
    <cellStyle name="Dane wyjściowe 2 27 17 3" xfId="16209"/>
    <cellStyle name="Dane wyjściowe 2 27 17 4" xfId="16210"/>
    <cellStyle name="Dane wyjściowe 2 27 18" xfId="16211"/>
    <cellStyle name="Dane wyjściowe 2 27 18 2" xfId="16212"/>
    <cellStyle name="Dane wyjściowe 2 27 18 3" xfId="16213"/>
    <cellStyle name="Dane wyjściowe 2 27 18 4" xfId="16214"/>
    <cellStyle name="Dane wyjściowe 2 27 19" xfId="16215"/>
    <cellStyle name="Dane wyjściowe 2 27 19 2" xfId="16216"/>
    <cellStyle name="Dane wyjściowe 2 27 19 3" xfId="16217"/>
    <cellStyle name="Dane wyjściowe 2 27 19 4" xfId="16218"/>
    <cellStyle name="Dane wyjściowe 2 27 2" xfId="16219"/>
    <cellStyle name="Dane wyjściowe 2 27 2 2" xfId="16220"/>
    <cellStyle name="Dane wyjściowe 2 27 2 3" xfId="16221"/>
    <cellStyle name="Dane wyjściowe 2 27 2 4" xfId="16222"/>
    <cellStyle name="Dane wyjściowe 2 27 20" xfId="16223"/>
    <cellStyle name="Dane wyjściowe 2 27 20 2" xfId="16224"/>
    <cellStyle name="Dane wyjściowe 2 27 20 3" xfId="16225"/>
    <cellStyle name="Dane wyjściowe 2 27 20 4" xfId="16226"/>
    <cellStyle name="Dane wyjściowe 2 27 21" xfId="16227"/>
    <cellStyle name="Dane wyjściowe 2 27 21 2" xfId="16228"/>
    <cellStyle name="Dane wyjściowe 2 27 21 3" xfId="16229"/>
    <cellStyle name="Dane wyjściowe 2 27 22" xfId="16230"/>
    <cellStyle name="Dane wyjściowe 2 27 22 2" xfId="16231"/>
    <cellStyle name="Dane wyjściowe 2 27 22 3" xfId="16232"/>
    <cellStyle name="Dane wyjściowe 2 27 23" xfId="16233"/>
    <cellStyle name="Dane wyjściowe 2 27 23 2" xfId="16234"/>
    <cellStyle name="Dane wyjściowe 2 27 23 3" xfId="16235"/>
    <cellStyle name="Dane wyjściowe 2 27 24" xfId="16236"/>
    <cellStyle name="Dane wyjściowe 2 27 24 2" xfId="16237"/>
    <cellStyle name="Dane wyjściowe 2 27 24 3" xfId="16238"/>
    <cellStyle name="Dane wyjściowe 2 27 25" xfId="16239"/>
    <cellStyle name="Dane wyjściowe 2 27 25 2" xfId="16240"/>
    <cellStyle name="Dane wyjściowe 2 27 25 3" xfId="16241"/>
    <cellStyle name="Dane wyjściowe 2 27 26" xfId="16242"/>
    <cellStyle name="Dane wyjściowe 2 27 26 2" xfId="16243"/>
    <cellStyle name="Dane wyjściowe 2 27 26 3" xfId="16244"/>
    <cellStyle name="Dane wyjściowe 2 27 27" xfId="16245"/>
    <cellStyle name="Dane wyjściowe 2 27 27 2" xfId="16246"/>
    <cellStyle name="Dane wyjściowe 2 27 27 3" xfId="16247"/>
    <cellStyle name="Dane wyjściowe 2 27 28" xfId="16248"/>
    <cellStyle name="Dane wyjściowe 2 27 28 2" xfId="16249"/>
    <cellStyle name="Dane wyjściowe 2 27 28 3" xfId="16250"/>
    <cellStyle name="Dane wyjściowe 2 27 29" xfId="16251"/>
    <cellStyle name="Dane wyjściowe 2 27 29 2" xfId="16252"/>
    <cellStyle name="Dane wyjściowe 2 27 29 3" xfId="16253"/>
    <cellStyle name="Dane wyjściowe 2 27 3" xfId="16254"/>
    <cellStyle name="Dane wyjściowe 2 27 3 2" xfId="16255"/>
    <cellStyle name="Dane wyjściowe 2 27 3 3" xfId="16256"/>
    <cellStyle name="Dane wyjściowe 2 27 3 4" xfId="16257"/>
    <cellStyle name="Dane wyjściowe 2 27 30" xfId="16258"/>
    <cellStyle name="Dane wyjściowe 2 27 30 2" xfId="16259"/>
    <cellStyle name="Dane wyjściowe 2 27 30 3" xfId="16260"/>
    <cellStyle name="Dane wyjściowe 2 27 31" xfId="16261"/>
    <cellStyle name="Dane wyjściowe 2 27 31 2" xfId="16262"/>
    <cellStyle name="Dane wyjściowe 2 27 31 3" xfId="16263"/>
    <cellStyle name="Dane wyjściowe 2 27 32" xfId="16264"/>
    <cellStyle name="Dane wyjściowe 2 27 32 2" xfId="16265"/>
    <cellStyle name="Dane wyjściowe 2 27 32 3" xfId="16266"/>
    <cellStyle name="Dane wyjściowe 2 27 33" xfId="16267"/>
    <cellStyle name="Dane wyjściowe 2 27 33 2" xfId="16268"/>
    <cellStyle name="Dane wyjściowe 2 27 33 3" xfId="16269"/>
    <cellStyle name="Dane wyjściowe 2 27 34" xfId="16270"/>
    <cellStyle name="Dane wyjściowe 2 27 34 2" xfId="16271"/>
    <cellStyle name="Dane wyjściowe 2 27 34 3" xfId="16272"/>
    <cellStyle name="Dane wyjściowe 2 27 35" xfId="16273"/>
    <cellStyle name="Dane wyjściowe 2 27 35 2" xfId="16274"/>
    <cellStyle name="Dane wyjściowe 2 27 35 3" xfId="16275"/>
    <cellStyle name="Dane wyjściowe 2 27 36" xfId="16276"/>
    <cellStyle name="Dane wyjściowe 2 27 36 2" xfId="16277"/>
    <cellStyle name="Dane wyjściowe 2 27 36 3" xfId="16278"/>
    <cellStyle name="Dane wyjściowe 2 27 37" xfId="16279"/>
    <cellStyle name="Dane wyjściowe 2 27 37 2" xfId="16280"/>
    <cellStyle name="Dane wyjściowe 2 27 37 3" xfId="16281"/>
    <cellStyle name="Dane wyjściowe 2 27 38" xfId="16282"/>
    <cellStyle name="Dane wyjściowe 2 27 38 2" xfId="16283"/>
    <cellStyle name="Dane wyjściowe 2 27 38 3" xfId="16284"/>
    <cellStyle name="Dane wyjściowe 2 27 39" xfId="16285"/>
    <cellStyle name="Dane wyjściowe 2 27 39 2" xfId="16286"/>
    <cellStyle name="Dane wyjściowe 2 27 39 3" xfId="16287"/>
    <cellStyle name="Dane wyjściowe 2 27 4" xfId="16288"/>
    <cellStyle name="Dane wyjściowe 2 27 4 2" xfId="16289"/>
    <cellStyle name="Dane wyjściowe 2 27 4 3" xfId="16290"/>
    <cellStyle name="Dane wyjściowe 2 27 4 4" xfId="16291"/>
    <cellStyle name="Dane wyjściowe 2 27 40" xfId="16292"/>
    <cellStyle name="Dane wyjściowe 2 27 40 2" xfId="16293"/>
    <cellStyle name="Dane wyjściowe 2 27 40 3" xfId="16294"/>
    <cellStyle name="Dane wyjściowe 2 27 41" xfId="16295"/>
    <cellStyle name="Dane wyjściowe 2 27 41 2" xfId="16296"/>
    <cellStyle name="Dane wyjściowe 2 27 41 3" xfId="16297"/>
    <cellStyle name="Dane wyjściowe 2 27 42" xfId="16298"/>
    <cellStyle name="Dane wyjściowe 2 27 42 2" xfId="16299"/>
    <cellStyle name="Dane wyjściowe 2 27 42 3" xfId="16300"/>
    <cellStyle name="Dane wyjściowe 2 27 43" xfId="16301"/>
    <cellStyle name="Dane wyjściowe 2 27 43 2" xfId="16302"/>
    <cellStyle name="Dane wyjściowe 2 27 43 3" xfId="16303"/>
    <cellStyle name="Dane wyjściowe 2 27 44" xfId="16304"/>
    <cellStyle name="Dane wyjściowe 2 27 44 2" xfId="16305"/>
    <cellStyle name="Dane wyjściowe 2 27 44 3" xfId="16306"/>
    <cellStyle name="Dane wyjściowe 2 27 45" xfId="16307"/>
    <cellStyle name="Dane wyjściowe 2 27 45 2" xfId="16308"/>
    <cellStyle name="Dane wyjściowe 2 27 45 3" xfId="16309"/>
    <cellStyle name="Dane wyjściowe 2 27 46" xfId="16310"/>
    <cellStyle name="Dane wyjściowe 2 27 46 2" xfId="16311"/>
    <cellStyle name="Dane wyjściowe 2 27 46 3" xfId="16312"/>
    <cellStyle name="Dane wyjściowe 2 27 47" xfId="16313"/>
    <cellStyle name="Dane wyjściowe 2 27 47 2" xfId="16314"/>
    <cellStyle name="Dane wyjściowe 2 27 47 3" xfId="16315"/>
    <cellStyle name="Dane wyjściowe 2 27 48" xfId="16316"/>
    <cellStyle name="Dane wyjściowe 2 27 48 2" xfId="16317"/>
    <cellStyle name="Dane wyjściowe 2 27 48 3" xfId="16318"/>
    <cellStyle name="Dane wyjściowe 2 27 49" xfId="16319"/>
    <cellStyle name="Dane wyjściowe 2 27 49 2" xfId="16320"/>
    <cellStyle name="Dane wyjściowe 2 27 49 3" xfId="16321"/>
    <cellStyle name="Dane wyjściowe 2 27 5" xfId="16322"/>
    <cellStyle name="Dane wyjściowe 2 27 5 2" xfId="16323"/>
    <cellStyle name="Dane wyjściowe 2 27 5 3" xfId="16324"/>
    <cellStyle name="Dane wyjściowe 2 27 5 4" xfId="16325"/>
    <cellStyle name="Dane wyjściowe 2 27 50" xfId="16326"/>
    <cellStyle name="Dane wyjściowe 2 27 50 2" xfId="16327"/>
    <cellStyle name="Dane wyjściowe 2 27 50 3" xfId="16328"/>
    <cellStyle name="Dane wyjściowe 2 27 51" xfId="16329"/>
    <cellStyle name="Dane wyjściowe 2 27 51 2" xfId="16330"/>
    <cellStyle name="Dane wyjściowe 2 27 51 3" xfId="16331"/>
    <cellStyle name="Dane wyjściowe 2 27 52" xfId="16332"/>
    <cellStyle name="Dane wyjściowe 2 27 52 2" xfId="16333"/>
    <cellStyle name="Dane wyjściowe 2 27 52 3" xfId="16334"/>
    <cellStyle name="Dane wyjściowe 2 27 53" xfId="16335"/>
    <cellStyle name="Dane wyjściowe 2 27 53 2" xfId="16336"/>
    <cellStyle name="Dane wyjściowe 2 27 53 3" xfId="16337"/>
    <cellStyle name="Dane wyjściowe 2 27 54" xfId="16338"/>
    <cellStyle name="Dane wyjściowe 2 27 54 2" xfId="16339"/>
    <cellStyle name="Dane wyjściowe 2 27 54 3" xfId="16340"/>
    <cellStyle name="Dane wyjściowe 2 27 55" xfId="16341"/>
    <cellStyle name="Dane wyjściowe 2 27 55 2" xfId="16342"/>
    <cellStyle name="Dane wyjściowe 2 27 55 3" xfId="16343"/>
    <cellStyle name="Dane wyjściowe 2 27 56" xfId="16344"/>
    <cellStyle name="Dane wyjściowe 2 27 56 2" xfId="16345"/>
    <cellStyle name="Dane wyjściowe 2 27 56 3" xfId="16346"/>
    <cellStyle name="Dane wyjściowe 2 27 57" xfId="16347"/>
    <cellStyle name="Dane wyjściowe 2 27 58" xfId="16348"/>
    <cellStyle name="Dane wyjściowe 2 27 6" xfId="16349"/>
    <cellStyle name="Dane wyjściowe 2 27 6 2" xfId="16350"/>
    <cellStyle name="Dane wyjściowe 2 27 6 3" xfId="16351"/>
    <cellStyle name="Dane wyjściowe 2 27 6 4" xfId="16352"/>
    <cellStyle name="Dane wyjściowe 2 27 7" xfId="16353"/>
    <cellStyle name="Dane wyjściowe 2 27 7 2" xfId="16354"/>
    <cellStyle name="Dane wyjściowe 2 27 7 3" xfId="16355"/>
    <cellStyle name="Dane wyjściowe 2 27 7 4" xfId="16356"/>
    <cellStyle name="Dane wyjściowe 2 27 8" xfId="16357"/>
    <cellStyle name="Dane wyjściowe 2 27 8 2" xfId="16358"/>
    <cellStyle name="Dane wyjściowe 2 27 8 3" xfId="16359"/>
    <cellStyle name="Dane wyjściowe 2 27 8 4" xfId="16360"/>
    <cellStyle name="Dane wyjściowe 2 27 9" xfId="16361"/>
    <cellStyle name="Dane wyjściowe 2 27 9 2" xfId="16362"/>
    <cellStyle name="Dane wyjściowe 2 27 9 3" xfId="16363"/>
    <cellStyle name="Dane wyjściowe 2 27 9 4" xfId="16364"/>
    <cellStyle name="Dane wyjściowe 2 28" xfId="16365"/>
    <cellStyle name="Dane wyjściowe 2 28 10" xfId="16366"/>
    <cellStyle name="Dane wyjściowe 2 28 10 2" xfId="16367"/>
    <cellStyle name="Dane wyjściowe 2 28 10 3" xfId="16368"/>
    <cellStyle name="Dane wyjściowe 2 28 10 4" xfId="16369"/>
    <cellStyle name="Dane wyjściowe 2 28 11" xfId="16370"/>
    <cellStyle name="Dane wyjściowe 2 28 11 2" xfId="16371"/>
    <cellStyle name="Dane wyjściowe 2 28 11 3" xfId="16372"/>
    <cellStyle name="Dane wyjściowe 2 28 11 4" xfId="16373"/>
    <cellStyle name="Dane wyjściowe 2 28 12" xfId="16374"/>
    <cellStyle name="Dane wyjściowe 2 28 12 2" xfId="16375"/>
    <cellStyle name="Dane wyjściowe 2 28 12 3" xfId="16376"/>
    <cellStyle name="Dane wyjściowe 2 28 12 4" xfId="16377"/>
    <cellStyle name="Dane wyjściowe 2 28 13" xfId="16378"/>
    <cellStyle name="Dane wyjściowe 2 28 13 2" xfId="16379"/>
    <cellStyle name="Dane wyjściowe 2 28 13 3" xfId="16380"/>
    <cellStyle name="Dane wyjściowe 2 28 13 4" xfId="16381"/>
    <cellStyle name="Dane wyjściowe 2 28 14" xfId="16382"/>
    <cellStyle name="Dane wyjściowe 2 28 14 2" xfId="16383"/>
    <cellStyle name="Dane wyjściowe 2 28 14 3" xfId="16384"/>
    <cellStyle name="Dane wyjściowe 2 28 14 4" xfId="16385"/>
    <cellStyle name="Dane wyjściowe 2 28 15" xfId="16386"/>
    <cellStyle name="Dane wyjściowe 2 28 15 2" xfId="16387"/>
    <cellStyle name="Dane wyjściowe 2 28 15 3" xfId="16388"/>
    <cellStyle name="Dane wyjściowe 2 28 15 4" xfId="16389"/>
    <cellStyle name="Dane wyjściowe 2 28 16" xfId="16390"/>
    <cellStyle name="Dane wyjściowe 2 28 16 2" xfId="16391"/>
    <cellStyle name="Dane wyjściowe 2 28 16 3" xfId="16392"/>
    <cellStyle name="Dane wyjściowe 2 28 16 4" xfId="16393"/>
    <cellStyle name="Dane wyjściowe 2 28 17" xfId="16394"/>
    <cellStyle name="Dane wyjściowe 2 28 17 2" xfId="16395"/>
    <cellStyle name="Dane wyjściowe 2 28 17 3" xfId="16396"/>
    <cellStyle name="Dane wyjściowe 2 28 17 4" xfId="16397"/>
    <cellStyle name="Dane wyjściowe 2 28 18" xfId="16398"/>
    <cellStyle name="Dane wyjściowe 2 28 18 2" xfId="16399"/>
    <cellStyle name="Dane wyjściowe 2 28 18 3" xfId="16400"/>
    <cellStyle name="Dane wyjściowe 2 28 18 4" xfId="16401"/>
    <cellStyle name="Dane wyjściowe 2 28 19" xfId="16402"/>
    <cellStyle name="Dane wyjściowe 2 28 19 2" xfId="16403"/>
    <cellStyle name="Dane wyjściowe 2 28 19 3" xfId="16404"/>
    <cellStyle name="Dane wyjściowe 2 28 19 4" xfId="16405"/>
    <cellStyle name="Dane wyjściowe 2 28 2" xfId="16406"/>
    <cellStyle name="Dane wyjściowe 2 28 2 2" xfId="16407"/>
    <cellStyle name="Dane wyjściowe 2 28 2 3" xfId="16408"/>
    <cellStyle name="Dane wyjściowe 2 28 2 4" xfId="16409"/>
    <cellStyle name="Dane wyjściowe 2 28 20" xfId="16410"/>
    <cellStyle name="Dane wyjściowe 2 28 20 2" xfId="16411"/>
    <cellStyle name="Dane wyjściowe 2 28 20 3" xfId="16412"/>
    <cellStyle name="Dane wyjściowe 2 28 20 4" xfId="16413"/>
    <cellStyle name="Dane wyjściowe 2 28 21" xfId="16414"/>
    <cellStyle name="Dane wyjściowe 2 28 21 2" xfId="16415"/>
    <cellStyle name="Dane wyjściowe 2 28 21 3" xfId="16416"/>
    <cellStyle name="Dane wyjściowe 2 28 22" xfId="16417"/>
    <cellStyle name="Dane wyjściowe 2 28 22 2" xfId="16418"/>
    <cellStyle name="Dane wyjściowe 2 28 22 3" xfId="16419"/>
    <cellStyle name="Dane wyjściowe 2 28 23" xfId="16420"/>
    <cellStyle name="Dane wyjściowe 2 28 23 2" xfId="16421"/>
    <cellStyle name="Dane wyjściowe 2 28 23 3" xfId="16422"/>
    <cellStyle name="Dane wyjściowe 2 28 24" xfId="16423"/>
    <cellStyle name="Dane wyjściowe 2 28 24 2" xfId="16424"/>
    <cellStyle name="Dane wyjściowe 2 28 24 3" xfId="16425"/>
    <cellStyle name="Dane wyjściowe 2 28 25" xfId="16426"/>
    <cellStyle name="Dane wyjściowe 2 28 25 2" xfId="16427"/>
    <cellStyle name="Dane wyjściowe 2 28 25 3" xfId="16428"/>
    <cellStyle name="Dane wyjściowe 2 28 26" xfId="16429"/>
    <cellStyle name="Dane wyjściowe 2 28 26 2" xfId="16430"/>
    <cellStyle name="Dane wyjściowe 2 28 26 3" xfId="16431"/>
    <cellStyle name="Dane wyjściowe 2 28 27" xfId="16432"/>
    <cellStyle name="Dane wyjściowe 2 28 27 2" xfId="16433"/>
    <cellStyle name="Dane wyjściowe 2 28 27 3" xfId="16434"/>
    <cellStyle name="Dane wyjściowe 2 28 28" xfId="16435"/>
    <cellStyle name="Dane wyjściowe 2 28 28 2" xfId="16436"/>
    <cellStyle name="Dane wyjściowe 2 28 28 3" xfId="16437"/>
    <cellStyle name="Dane wyjściowe 2 28 29" xfId="16438"/>
    <cellStyle name="Dane wyjściowe 2 28 29 2" xfId="16439"/>
    <cellStyle name="Dane wyjściowe 2 28 29 3" xfId="16440"/>
    <cellStyle name="Dane wyjściowe 2 28 3" xfId="16441"/>
    <cellStyle name="Dane wyjściowe 2 28 3 2" xfId="16442"/>
    <cellStyle name="Dane wyjściowe 2 28 3 3" xfId="16443"/>
    <cellStyle name="Dane wyjściowe 2 28 3 4" xfId="16444"/>
    <cellStyle name="Dane wyjściowe 2 28 30" xfId="16445"/>
    <cellStyle name="Dane wyjściowe 2 28 30 2" xfId="16446"/>
    <cellStyle name="Dane wyjściowe 2 28 30 3" xfId="16447"/>
    <cellStyle name="Dane wyjściowe 2 28 31" xfId="16448"/>
    <cellStyle name="Dane wyjściowe 2 28 31 2" xfId="16449"/>
    <cellStyle name="Dane wyjściowe 2 28 31 3" xfId="16450"/>
    <cellStyle name="Dane wyjściowe 2 28 32" xfId="16451"/>
    <cellStyle name="Dane wyjściowe 2 28 32 2" xfId="16452"/>
    <cellStyle name="Dane wyjściowe 2 28 32 3" xfId="16453"/>
    <cellStyle name="Dane wyjściowe 2 28 33" xfId="16454"/>
    <cellStyle name="Dane wyjściowe 2 28 33 2" xfId="16455"/>
    <cellStyle name="Dane wyjściowe 2 28 33 3" xfId="16456"/>
    <cellStyle name="Dane wyjściowe 2 28 34" xfId="16457"/>
    <cellStyle name="Dane wyjściowe 2 28 34 2" xfId="16458"/>
    <cellStyle name="Dane wyjściowe 2 28 34 3" xfId="16459"/>
    <cellStyle name="Dane wyjściowe 2 28 35" xfId="16460"/>
    <cellStyle name="Dane wyjściowe 2 28 35 2" xfId="16461"/>
    <cellStyle name="Dane wyjściowe 2 28 35 3" xfId="16462"/>
    <cellStyle name="Dane wyjściowe 2 28 36" xfId="16463"/>
    <cellStyle name="Dane wyjściowe 2 28 36 2" xfId="16464"/>
    <cellStyle name="Dane wyjściowe 2 28 36 3" xfId="16465"/>
    <cellStyle name="Dane wyjściowe 2 28 37" xfId="16466"/>
    <cellStyle name="Dane wyjściowe 2 28 37 2" xfId="16467"/>
    <cellStyle name="Dane wyjściowe 2 28 37 3" xfId="16468"/>
    <cellStyle name="Dane wyjściowe 2 28 38" xfId="16469"/>
    <cellStyle name="Dane wyjściowe 2 28 38 2" xfId="16470"/>
    <cellStyle name="Dane wyjściowe 2 28 38 3" xfId="16471"/>
    <cellStyle name="Dane wyjściowe 2 28 39" xfId="16472"/>
    <cellStyle name="Dane wyjściowe 2 28 39 2" xfId="16473"/>
    <cellStyle name="Dane wyjściowe 2 28 39 3" xfId="16474"/>
    <cellStyle name="Dane wyjściowe 2 28 4" xfId="16475"/>
    <cellStyle name="Dane wyjściowe 2 28 4 2" xfId="16476"/>
    <cellStyle name="Dane wyjściowe 2 28 4 3" xfId="16477"/>
    <cellStyle name="Dane wyjściowe 2 28 4 4" xfId="16478"/>
    <cellStyle name="Dane wyjściowe 2 28 40" xfId="16479"/>
    <cellStyle name="Dane wyjściowe 2 28 40 2" xfId="16480"/>
    <cellStyle name="Dane wyjściowe 2 28 40 3" xfId="16481"/>
    <cellStyle name="Dane wyjściowe 2 28 41" xfId="16482"/>
    <cellStyle name="Dane wyjściowe 2 28 41 2" xfId="16483"/>
    <cellStyle name="Dane wyjściowe 2 28 41 3" xfId="16484"/>
    <cellStyle name="Dane wyjściowe 2 28 42" xfId="16485"/>
    <cellStyle name="Dane wyjściowe 2 28 42 2" xfId="16486"/>
    <cellStyle name="Dane wyjściowe 2 28 42 3" xfId="16487"/>
    <cellStyle name="Dane wyjściowe 2 28 43" xfId="16488"/>
    <cellStyle name="Dane wyjściowe 2 28 43 2" xfId="16489"/>
    <cellStyle name="Dane wyjściowe 2 28 43 3" xfId="16490"/>
    <cellStyle name="Dane wyjściowe 2 28 44" xfId="16491"/>
    <cellStyle name="Dane wyjściowe 2 28 44 2" xfId="16492"/>
    <cellStyle name="Dane wyjściowe 2 28 44 3" xfId="16493"/>
    <cellStyle name="Dane wyjściowe 2 28 45" xfId="16494"/>
    <cellStyle name="Dane wyjściowe 2 28 45 2" xfId="16495"/>
    <cellStyle name="Dane wyjściowe 2 28 45 3" xfId="16496"/>
    <cellStyle name="Dane wyjściowe 2 28 46" xfId="16497"/>
    <cellStyle name="Dane wyjściowe 2 28 46 2" xfId="16498"/>
    <cellStyle name="Dane wyjściowe 2 28 46 3" xfId="16499"/>
    <cellStyle name="Dane wyjściowe 2 28 47" xfId="16500"/>
    <cellStyle name="Dane wyjściowe 2 28 47 2" xfId="16501"/>
    <cellStyle name="Dane wyjściowe 2 28 47 3" xfId="16502"/>
    <cellStyle name="Dane wyjściowe 2 28 48" xfId="16503"/>
    <cellStyle name="Dane wyjściowe 2 28 48 2" xfId="16504"/>
    <cellStyle name="Dane wyjściowe 2 28 48 3" xfId="16505"/>
    <cellStyle name="Dane wyjściowe 2 28 49" xfId="16506"/>
    <cellStyle name="Dane wyjściowe 2 28 49 2" xfId="16507"/>
    <cellStyle name="Dane wyjściowe 2 28 49 3" xfId="16508"/>
    <cellStyle name="Dane wyjściowe 2 28 5" xfId="16509"/>
    <cellStyle name="Dane wyjściowe 2 28 5 2" xfId="16510"/>
    <cellStyle name="Dane wyjściowe 2 28 5 3" xfId="16511"/>
    <cellStyle name="Dane wyjściowe 2 28 5 4" xfId="16512"/>
    <cellStyle name="Dane wyjściowe 2 28 50" xfId="16513"/>
    <cellStyle name="Dane wyjściowe 2 28 50 2" xfId="16514"/>
    <cellStyle name="Dane wyjściowe 2 28 50 3" xfId="16515"/>
    <cellStyle name="Dane wyjściowe 2 28 51" xfId="16516"/>
    <cellStyle name="Dane wyjściowe 2 28 51 2" xfId="16517"/>
    <cellStyle name="Dane wyjściowe 2 28 51 3" xfId="16518"/>
    <cellStyle name="Dane wyjściowe 2 28 52" xfId="16519"/>
    <cellStyle name="Dane wyjściowe 2 28 52 2" xfId="16520"/>
    <cellStyle name="Dane wyjściowe 2 28 52 3" xfId="16521"/>
    <cellStyle name="Dane wyjściowe 2 28 53" xfId="16522"/>
    <cellStyle name="Dane wyjściowe 2 28 53 2" xfId="16523"/>
    <cellStyle name="Dane wyjściowe 2 28 53 3" xfId="16524"/>
    <cellStyle name="Dane wyjściowe 2 28 54" xfId="16525"/>
    <cellStyle name="Dane wyjściowe 2 28 54 2" xfId="16526"/>
    <cellStyle name="Dane wyjściowe 2 28 54 3" xfId="16527"/>
    <cellStyle name="Dane wyjściowe 2 28 55" xfId="16528"/>
    <cellStyle name="Dane wyjściowe 2 28 55 2" xfId="16529"/>
    <cellStyle name="Dane wyjściowe 2 28 55 3" xfId="16530"/>
    <cellStyle name="Dane wyjściowe 2 28 56" xfId="16531"/>
    <cellStyle name="Dane wyjściowe 2 28 56 2" xfId="16532"/>
    <cellStyle name="Dane wyjściowe 2 28 56 3" xfId="16533"/>
    <cellStyle name="Dane wyjściowe 2 28 57" xfId="16534"/>
    <cellStyle name="Dane wyjściowe 2 28 58" xfId="16535"/>
    <cellStyle name="Dane wyjściowe 2 28 6" xfId="16536"/>
    <cellStyle name="Dane wyjściowe 2 28 6 2" xfId="16537"/>
    <cellStyle name="Dane wyjściowe 2 28 6 3" xfId="16538"/>
    <cellStyle name="Dane wyjściowe 2 28 6 4" xfId="16539"/>
    <cellStyle name="Dane wyjściowe 2 28 7" xfId="16540"/>
    <cellStyle name="Dane wyjściowe 2 28 7 2" xfId="16541"/>
    <cellStyle name="Dane wyjściowe 2 28 7 3" xfId="16542"/>
    <cellStyle name="Dane wyjściowe 2 28 7 4" xfId="16543"/>
    <cellStyle name="Dane wyjściowe 2 28 8" xfId="16544"/>
    <cellStyle name="Dane wyjściowe 2 28 8 2" xfId="16545"/>
    <cellStyle name="Dane wyjściowe 2 28 8 3" xfId="16546"/>
    <cellStyle name="Dane wyjściowe 2 28 8 4" xfId="16547"/>
    <cellStyle name="Dane wyjściowe 2 28 9" xfId="16548"/>
    <cellStyle name="Dane wyjściowe 2 28 9 2" xfId="16549"/>
    <cellStyle name="Dane wyjściowe 2 28 9 3" xfId="16550"/>
    <cellStyle name="Dane wyjściowe 2 28 9 4" xfId="16551"/>
    <cellStyle name="Dane wyjściowe 2 29" xfId="16552"/>
    <cellStyle name="Dane wyjściowe 2 29 2" xfId="16553"/>
    <cellStyle name="Dane wyjściowe 2 29 3" xfId="16554"/>
    <cellStyle name="Dane wyjściowe 2 29 4" xfId="16555"/>
    <cellStyle name="Dane wyjściowe 2 3" xfId="16556"/>
    <cellStyle name="Dane wyjściowe 2 3 10" xfId="16557"/>
    <cellStyle name="Dane wyjściowe 2 3 10 2" xfId="16558"/>
    <cellStyle name="Dane wyjściowe 2 3 10 3" xfId="16559"/>
    <cellStyle name="Dane wyjściowe 2 3 10 4" xfId="16560"/>
    <cellStyle name="Dane wyjściowe 2 3 11" xfId="16561"/>
    <cellStyle name="Dane wyjściowe 2 3 11 2" xfId="16562"/>
    <cellStyle name="Dane wyjściowe 2 3 11 3" xfId="16563"/>
    <cellStyle name="Dane wyjściowe 2 3 11 4" xfId="16564"/>
    <cellStyle name="Dane wyjściowe 2 3 12" xfId="16565"/>
    <cellStyle name="Dane wyjściowe 2 3 12 2" xfId="16566"/>
    <cellStyle name="Dane wyjściowe 2 3 12 3" xfId="16567"/>
    <cellStyle name="Dane wyjściowe 2 3 12 4" xfId="16568"/>
    <cellStyle name="Dane wyjściowe 2 3 13" xfId="16569"/>
    <cellStyle name="Dane wyjściowe 2 3 13 2" xfId="16570"/>
    <cellStyle name="Dane wyjściowe 2 3 13 3" xfId="16571"/>
    <cellStyle name="Dane wyjściowe 2 3 13 4" xfId="16572"/>
    <cellStyle name="Dane wyjściowe 2 3 14" xfId="16573"/>
    <cellStyle name="Dane wyjściowe 2 3 14 2" xfId="16574"/>
    <cellStyle name="Dane wyjściowe 2 3 14 3" xfId="16575"/>
    <cellStyle name="Dane wyjściowe 2 3 14 4" xfId="16576"/>
    <cellStyle name="Dane wyjściowe 2 3 15" xfId="16577"/>
    <cellStyle name="Dane wyjściowe 2 3 15 2" xfId="16578"/>
    <cellStyle name="Dane wyjściowe 2 3 15 3" xfId="16579"/>
    <cellStyle name="Dane wyjściowe 2 3 15 4" xfId="16580"/>
    <cellStyle name="Dane wyjściowe 2 3 16" xfId="16581"/>
    <cellStyle name="Dane wyjściowe 2 3 16 2" xfId="16582"/>
    <cellStyle name="Dane wyjściowe 2 3 16 3" xfId="16583"/>
    <cellStyle name="Dane wyjściowe 2 3 16 4" xfId="16584"/>
    <cellStyle name="Dane wyjściowe 2 3 17" xfId="16585"/>
    <cellStyle name="Dane wyjściowe 2 3 17 2" xfId="16586"/>
    <cellStyle name="Dane wyjściowe 2 3 17 3" xfId="16587"/>
    <cellStyle name="Dane wyjściowe 2 3 17 4" xfId="16588"/>
    <cellStyle name="Dane wyjściowe 2 3 18" xfId="16589"/>
    <cellStyle name="Dane wyjściowe 2 3 18 2" xfId="16590"/>
    <cellStyle name="Dane wyjściowe 2 3 18 3" xfId="16591"/>
    <cellStyle name="Dane wyjściowe 2 3 18 4" xfId="16592"/>
    <cellStyle name="Dane wyjściowe 2 3 19" xfId="16593"/>
    <cellStyle name="Dane wyjściowe 2 3 19 2" xfId="16594"/>
    <cellStyle name="Dane wyjściowe 2 3 19 3" xfId="16595"/>
    <cellStyle name="Dane wyjściowe 2 3 19 4" xfId="16596"/>
    <cellStyle name="Dane wyjściowe 2 3 2" xfId="16597"/>
    <cellStyle name="Dane wyjściowe 2 3 2 2" xfId="16598"/>
    <cellStyle name="Dane wyjściowe 2 3 2 3" xfId="16599"/>
    <cellStyle name="Dane wyjściowe 2 3 2 4" xfId="16600"/>
    <cellStyle name="Dane wyjściowe 2 3 20" xfId="16601"/>
    <cellStyle name="Dane wyjściowe 2 3 20 2" xfId="16602"/>
    <cellStyle name="Dane wyjściowe 2 3 20 3" xfId="16603"/>
    <cellStyle name="Dane wyjściowe 2 3 20 4" xfId="16604"/>
    <cellStyle name="Dane wyjściowe 2 3 21" xfId="16605"/>
    <cellStyle name="Dane wyjściowe 2 3 21 2" xfId="16606"/>
    <cellStyle name="Dane wyjściowe 2 3 21 3" xfId="16607"/>
    <cellStyle name="Dane wyjściowe 2 3 22" xfId="16608"/>
    <cellStyle name="Dane wyjściowe 2 3 22 2" xfId="16609"/>
    <cellStyle name="Dane wyjściowe 2 3 22 3" xfId="16610"/>
    <cellStyle name="Dane wyjściowe 2 3 23" xfId="16611"/>
    <cellStyle name="Dane wyjściowe 2 3 23 2" xfId="16612"/>
    <cellStyle name="Dane wyjściowe 2 3 23 3" xfId="16613"/>
    <cellStyle name="Dane wyjściowe 2 3 24" xfId="16614"/>
    <cellStyle name="Dane wyjściowe 2 3 24 2" xfId="16615"/>
    <cellStyle name="Dane wyjściowe 2 3 24 3" xfId="16616"/>
    <cellStyle name="Dane wyjściowe 2 3 25" xfId="16617"/>
    <cellStyle name="Dane wyjściowe 2 3 25 2" xfId="16618"/>
    <cellStyle name="Dane wyjściowe 2 3 25 3" xfId="16619"/>
    <cellStyle name="Dane wyjściowe 2 3 26" xfId="16620"/>
    <cellStyle name="Dane wyjściowe 2 3 26 2" xfId="16621"/>
    <cellStyle name="Dane wyjściowe 2 3 26 3" xfId="16622"/>
    <cellStyle name="Dane wyjściowe 2 3 27" xfId="16623"/>
    <cellStyle name="Dane wyjściowe 2 3 27 2" xfId="16624"/>
    <cellStyle name="Dane wyjściowe 2 3 27 3" xfId="16625"/>
    <cellStyle name="Dane wyjściowe 2 3 28" xfId="16626"/>
    <cellStyle name="Dane wyjściowe 2 3 28 2" xfId="16627"/>
    <cellStyle name="Dane wyjściowe 2 3 28 3" xfId="16628"/>
    <cellStyle name="Dane wyjściowe 2 3 29" xfId="16629"/>
    <cellStyle name="Dane wyjściowe 2 3 29 2" xfId="16630"/>
    <cellStyle name="Dane wyjściowe 2 3 29 3" xfId="16631"/>
    <cellStyle name="Dane wyjściowe 2 3 3" xfId="16632"/>
    <cellStyle name="Dane wyjściowe 2 3 3 2" xfId="16633"/>
    <cellStyle name="Dane wyjściowe 2 3 3 3" xfId="16634"/>
    <cellStyle name="Dane wyjściowe 2 3 3 4" xfId="16635"/>
    <cellStyle name="Dane wyjściowe 2 3 30" xfId="16636"/>
    <cellStyle name="Dane wyjściowe 2 3 30 2" xfId="16637"/>
    <cellStyle name="Dane wyjściowe 2 3 30 3" xfId="16638"/>
    <cellStyle name="Dane wyjściowe 2 3 31" xfId="16639"/>
    <cellStyle name="Dane wyjściowe 2 3 31 2" xfId="16640"/>
    <cellStyle name="Dane wyjściowe 2 3 31 3" xfId="16641"/>
    <cellStyle name="Dane wyjściowe 2 3 32" xfId="16642"/>
    <cellStyle name="Dane wyjściowe 2 3 32 2" xfId="16643"/>
    <cellStyle name="Dane wyjściowe 2 3 32 3" xfId="16644"/>
    <cellStyle name="Dane wyjściowe 2 3 33" xfId="16645"/>
    <cellStyle name="Dane wyjściowe 2 3 33 2" xfId="16646"/>
    <cellStyle name="Dane wyjściowe 2 3 33 3" xfId="16647"/>
    <cellStyle name="Dane wyjściowe 2 3 34" xfId="16648"/>
    <cellStyle name="Dane wyjściowe 2 3 34 2" xfId="16649"/>
    <cellStyle name="Dane wyjściowe 2 3 34 3" xfId="16650"/>
    <cellStyle name="Dane wyjściowe 2 3 35" xfId="16651"/>
    <cellStyle name="Dane wyjściowe 2 3 35 2" xfId="16652"/>
    <cellStyle name="Dane wyjściowe 2 3 35 3" xfId="16653"/>
    <cellStyle name="Dane wyjściowe 2 3 36" xfId="16654"/>
    <cellStyle name="Dane wyjściowe 2 3 36 2" xfId="16655"/>
    <cellStyle name="Dane wyjściowe 2 3 36 3" xfId="16656"/>
    <cellStyle name="Dane wyjściowe 2 3 37" xfId="16657"/>
    <cellStyle name="Dane wyjściowe 2 3 37 2" xfId="16658"/>
    <cellStyle name="Dane wyjściowe 2 3 37 3" xfId="16659"/>
    <cellStyle name="Dane wyjściowe 2 3 38" xfId="16660"/>
    <cellStyle name="Dane wyjściowe 2 3 38 2" xfId="16661"/>
    <cellStyle name="Dane wyjściowe 2 3 38 3" xfId="16662"/>
    <cellStyle name="Dane wyjściowe 2 3 39" xfId="16663"/>
    <cellStyle name="Dane wyjściowe 2 3 39 2" xfId="16664"/>
    <cellStyle name="Dane wyjściowe 2 3 39 3" xfId="16665"/>
    <cellStyle name="Dane wyjściowe 2 3 4" xfId="16666"/>
    <cellStyle name="Dane wyjściowe 2 3 4 2" xfId="16667"/>
    <cellStyle name="Dane wyjściowe 2 3 4 3" xfId="16668"/>
    <cellStyle name="Dane wyjściowe 2 3 4 4" xfId="16669"/>
    <cellStyle name="Dane wyjściowe 2 3 40" xfId="16670"/>
    <cellStyle name="Dane wyjściowe 2 3 40 2" xfId="16671"/>
    <cellStyle name="Dane wyjściowe 2 3 40 3" xfId="16672"/>
    <cellStyle name="Dane wyjściowe 2 3 41" xfId="16673"/>
    <cellStyle name="Dane wyjściowe 2 3 41 2" xfId="16674"/>
    <cellStyle name="Dane wyjściowe 2 3 41 3" xfId="16675"/>
    <cellStyle name="Dane wyjściowe 2 3 42" xfId="16676"/>
    <cellStyle name="Dane wyjściowe 2 3 42 2" xfId="16677"/>
    <cellStyle name="Dane wyjściowe 2 3 42 3" xfId="16678"/>
    <cellStyle name="Dane wyjściowe 2 3 43" xfId="16679"/>
    <cellStyle name="Dane wyjściowe 2 3 43 2" xfId="16680"/>
    <cellStyle name="Dane wyjściowe 2 3 43 3" xfId="16681"/>
    <cellStyle name="Dane wyjściowe 2 3 44" xfId="16682"/>
    <cellStyle name="Dane wyjściowe 2 3 44 2" xfId="16683"/>
    <cellStyle name="Dane wyjściowe 2 3 44 3" xfId="16684"/>
    <cellStyle name="Dane wyjściowe 2 3 45" xfId="16685"/>
    <cellStyle name="Dane wyjściowe 2 3 45 2" xfId="16686"/>
    <cellStyle name="Dane wyjściowe 2 3 45 3" xfId="16687"/>
    <cellStyle name="Dane wyjściowe 2 3 46" xfId="16688"/>
    <cellStyle name="Dane wyjściowe 2 3 46 2" xfId="16689"/>
    <cellStyle name="Dane wyjściowe 2 3 46 3" xfId="16690"/>
    <cellStyle name="Dane wyjściowe 2 3 47" xfId="16691"/>
    <cellStyle name="Dane wyjściowe 2 3 47 2" xfId="16692"/>
    <cellStyle name="Dane wyjściowe 2 3 47 3" xfId="16693"/>
    <cellStyle name="Dane wyjściowe 2 3 48" xfId="16694"/>
    <cellStyle name="Dane wyjściowe 2 3 48 2" xfId="16695"/>
    <cellStyle name="Dane wyjściowe 2 3 48 3" xfId="16696"/>
    <cellStyle name="Dane wyjściowe 2 3 49" xfId="16697"/>
    <cellStyle name="Dane wyjściowe 2 3 49 2" xfId="16698"/>
    <cellStyle name="Dane wyjściowe 2 3 49 3" xfId="16699"/>
    <cellStyle name="Dane wyjściowe 2 3 5" xfId="16700"/>
    <cellStyle name="Dane wyjściowe 2 3 5 2" xfId="16701"/>
    <cellStyle name="Dane wyjściowe 2 3 5 3" xfId="16702"/>
    <cellStyle name="Dane wyjściowe 2 3 5 4" xfId="16703"/>
    <cellStyle name="Dane wyjściowe 2 3 50" xfId="16704"/>
    <cellStyle name="Dane wyjściowe 2 3 50 2" xfId="16705"/>
    <cellStyle name="Dane wyjściowe 2 3 50 3" xfId="16706"/>
    <cellStyle name="Dane wyjściowe 2 3 51" xfId="16707"/>
    <cellStyle name="Dane wyjściowe 2 3 51 2" xfId="16708"/>
    <cellStyle name="Dane wyjściowe 2 3 51 3" xfId="16709"/>
    <cellStyle name="Dane wyjściowe 2 3 52" xfId="16710"/>
    <cellStyle name="Dane wyjściowe 2 3 52 2" xfId="16711"/>
    <cellStyle name="Dane wyjściowe 2 3 52 3" xfId="16712"/>
    <cellStyle name="Dane wyjściowe 2 3 53" xfId="16713"/>
    <cellStyle name="Dane wyjściowe 2 3 53 2" xfId="16714"/>
    <cellStyle name="Dane wyjściowe 2 3 53 3" xfId="16715"/>
    <cellStyle name="Dane wyjściowe 2 3 54" xfId="16716"/>
    <cellStyle name="Dane wyjściowe 2 3 54 2" xfId="16717"/>
    <cellStyle name="Dane wyjściowe 2 3 54 3" xfId="16718"/>
    <cellStyle name="Dane wyjściowe 2 3 55" xfId="16719"/>
    <cellStyle name="Dane wyjściowe 2 3 55 2" xfId="16720"/>
    <cellStyle name="Dane wyjściowe 2 3 55 3" xfId="16721"/>
    <cellStyle name="Dane wyjściowe 2 3 56" xfId="16722"/>
    <cellStyle name="Dane wyjściowe 2 3 56 2" xfId="16723"/>
    <cellStyle name="Dane wyjściowe 2 3 56 3" xfId="16724"/>
    <cellStyle name="Dane wyjściowe 2 3 57" xfId="16725"/>
    <cellStyle name="Dane wyjściowe 2 3 58" xfId="16726"/>
    <cellStyle name="Dane wyjściowe 2 3 6" xfId="16727"/>
    <cellStyle name="Dane wyjściowe 2 3 6 2" xfId="16728"/>
    <cellStyle name="Dane wyjściowe 2 3 6 3" xfId="16729"/>
    <cellStyle name="Dane wyjściowe 2 3 6 4" xfId="16730"/>
    <cellStyle name="Dane wyjściowe 2 3 7" xfId="16731"/>
    <cellStyle name="Dane wyjściowe 2 3 7 2" xfId="16732"/>
    <cellStyle name="Dane wyjściowe 2 3 7 3" xfId="16733"/>
    <cellStyle name="Dane wyjściowe 2 3 7 4" xfId="16734"/>
    <cellStyle name="Dane wyjściowe 2 3 8" xfId="16735"/>
    <cellStyle name="Dane wyjściowe 2 3 8 2" xfId="16736"/>
    <cellStyle name="Dane wyjściowe 2 3 8 3" xfId="16737"/>
    <cellStyle name="Dane wyjściowe 2 3 8 4" xfId="16738"/>
    <cellStyle name="Dane wyjściowe 2 3 9" xfId="16739"/>
    <cellStyle name="Dane wyjściowe 2 3 9 2" xfId="16740"/>
    <cellStyle name="Dane wyjściowe 2 3 9 3" xfId="16741"/>
    <cellStyle name="Dane wyjściowe 2 3 9 4" xfId="16742"/>
    <cellStyle name="Dane wyjściowe 2 30" xfId="16743"/>
    <cellStyle name="Dane wyjściowe 2 30 2" xfId="16744"/>
    <cellStyle name="Dane wyjściowe 2 30 3" xfId="16745"/>
    <cellStyle name="Dane wyjściowe 2 30 4" xfId="16746"/>
    <cellStyle name="Dane wyjściowe 2 31" xfId="16747"/>
    <cellStyle name="Dane wyjściowe 2 31 2" xfId="16748"/>
    <cellStyle name="Dane wyjściowe 2 31 3" xfId="16749"/>
    <cellStyle name="Dane wyjściowe 2 31 4" xfId="16750"/>
    <cellStyle name="Dane wyjściowe 2 32" xfId="16751"/>
    <cellStyle name="Dane wyjściowe 2 32 2" xfId="16752"/>
    <cellStyle name="Dane wyjściowe 2 32 3" xfId="16753"/>
    <cellStyle name="Dane wyjściowe 2 32 4" xfId="16754"/>
    <cellStyle name="Dane wyjściowe 2 33" xfId="16755"/>
    <cellStyle name="Dane wyjściowe 2 33 2" xfId="16756"/>
    <cellStyle name="Dane wyjściowe 2 33 3" xfId="16757"/>
    <cellStyle name="Dane wyjściowe 2 33 4" xfId="16758"/>
    <cellStyle name="Dane wyjściowe 2 34" xfId="16759"/>
    <cellStyle name="Dane wyjściowe 2 34 2" xfId="16760"/>
    <cellStyle name="Dane wyjściowe 2 34 3" xfId="16761"/>
    <cellStyle name="Dane wyjściowe 2 34 4" xfId="16762"/>
    <cellStyle name="Dane wyjściowe 2 35" xfId="16763"/>
    <cellStyle name="Dane wyjściowe 2 35 2" xfId="16764"/>
    <cellStyle name="Dane wyjściowe 2 35 3" xfId="16765"/>
    <cellStyle name="Dane wyjściowe 2 35 4" xfId="16766"/>
    <cellStyle name="Dane wyjściowe 2 36" xfId="16767"/>
    <cellStyle name="Dane wyjściowe 2 36 2" xfId="16768"/>
    <cellStyle name="Dane wyjściowe 2 36 3" xfId="16769"/>
    <cellStyle name="Dane wyjściowe 2 36 4" xfId="16770"/>
    <cellStyle name="Dane wyjściowe 2 37" xfId="16771"/>
    <cellStyle name="Dane wyjściowe 2 37 2" xfId="16772"/>
    <cellStyle name="Dane wyjściowe 2 37 3" xfId="16773"/>
    <cellStyle name="Dane wyjściowe 2 37 4" xfId="16774"/>
    <cellStyle name="Dane wyjściowe 2 38" xfId="16775"/>
    <cellStyle name="Dane wyjściowe 2 38 2" xfId="16776"/>
    <cellStyle name="Dane wyjściowe 2 38 3" xfId="16777"/>
    <cellStyle name="Dane wyjściowe 2 38 4" xfId="16778"/>
    <cellStyle name="Dane wyjściowe 2 39" xfId="16779"/>
    <cellStyle name="Dane wyjściowe 2 39 2" xfId="16780"/>
    <cellStyle name="Dane wyjściowe 2 39 3" xfId="16781"/>
    <cellStyle name="Dane wyjściowe 2 39 4" xfId="16782"/>
    <cellStyle name="Dane wyjściowe 2 4" xfId="16783"/>
    <cellStyle name="Dane wyjściowe 2 4 10" xfId="16784"/>
    <cellStyle name="Dane wyjściowe 2 4 10 2" xfId="16785"/>
    <cellStyle name="Dane wyjściowe 2 4 10 3" xfId="16786"/>
    <cellStyle name="Dane wyjściowe 2 4 10 4" xfId="16787"/>
    <cellStyle name="Dane wyjściowe 2 4 11" xfId="16788"/>
    <cellStyle name="Dane wyjściowe 2 4 11 2" xfId="16789"/>
    <cellStyle name="Dane wyjściowe 2 4 11 3" xfId="16790"/>
    <cellStyle name="Dane wyjściowe 2 4 11 4" xfId="16791"/>
    <cellStyle name="Dane wyjściowe 2 4 12" xfId="16792"/>
    <cellStyle name="Dane wyjściowe 2 4 12 2" xfId="16793"/>
    <cellStyle name="Dane wyjściowe 2 4 12 3" xfId="16794"/>
    <cellStyle name="Dane wyjściowe 2 4 12 4" xfId="16795"/>
    <cellStyle name="Dane wyjściowe 2 4 13" xfId="16796"/>
    <cellStyle name="Dane wyjściowe 2 4 13 2" xfId="16797"/>
    <cellStyle name="Dane wyjściowe 2 4 13 3" xfId="16798"/>
    <cellStyle name="Dane wyjściowe 2 4 13 4" xfId="16799"/>
    <cellStyle name="Dane wyjściowe 2 4 14" xfId="16800"/>
    <cellStyle name="Dane wyjściowe 2 4 14 2" xfId="16801"/>
    <cellStyle name="Dane wyjściowe 2 4 14 3" xfId="16802"/>
    <cellStyle name="Dane wyjściowe 2 4 14 4" xfId="16803"/>
    <cellStyle name="Dane wyjściowe 2 4 15" xfId="16804"/>
    <cellStyle name="Dane wyjściowe 2 4 15 2" xfId="16805"/>
    <cellStyle name="Dane wyjściowe 2 4 15 3" xfId="16806"/>
    <cellStyle name="Dane wyjściowe 2 4 15 4" xfId="16807"/>
    <cellStyle name="Dane wyjściowe 2 4 16" xfId="16808"/>
    <cellStyle name="Dane wyjściowe 2 4 16 2" xfId="16809"/>
    <cellStyle name="Dane wyjściowe 2 4 16 3" xfId="16810"/>
    <cellStyle name="Dane wyjściowe 2 4 16 4" xfId="16811"/>
    <cellStyle name="Dane wyjściowe 2 4 17" xfId="16812"/>
    <cellStyle name="Dane wyjściowe 2 4 17 2" xfId="16813"/>
    <cellStyle name="Dane wyjściowe 2 4 17 3" xfId="16814"/>
    <cellStyle name="Dane wyjściowe 2 4 17 4" xfId="16815"/>
    <cellStyle name="Dane wyjściowe 2 4 18" xfId="16816"/>
    <cellStyle name="Dane wyjściowe 2 4 18 2" xfId="16817"/>
    <cellStyle name="Dane wyjściowe 2 4 18 3" xfId="16818"/>
    <cellStyle name="Dane wyjściowe 2 4 18 4" xfId="16819"/>
    <cellStyle name="Dane wyjściowe 2 4 19" xfId="16820"/>
    <cellStyle name="Dane wyjściowe 2 4 19 2" xfId="16821"/>
    <cellStyle name="Dane wyjściowe 2 4 19 3" xfId="16822"/>
    <cellStyle name="Dane wyjściowe 2 4 19 4" xfId="16823"/>
    <cellStyle name="Dane wyjściowe 2 4 2" xfId="16824"/>
    <cellStyle name="Dane wyjściowe 2 4 2 2" xfId="16825"/>
    <cellStyle name="Dane wyjściowe 2 4 2 3" xfId="16826"/>
    <cellStyle name="Dane wyjściowe 2 4 2 4" xfId="16827"/>
    <cellStyle name="Dane wyjściowe 2 4 20" xfId="16828"/>
    <cellStyle name="Dane wyjściowe 2 4 20 2" xfId="16829"/>
    <cellStyle name="Dane wyjściowe 2 4 20 3" xfId="16830"/>
    <cellStyle name="Dane wyjściowe 2 4 20 4" xfId="16831"/>
    <cellStyle name="Dane wyjściowe 2 4 21" xfId="16832"/>
    <cellStyle name="Dane wyjściowe 2 4 21 2" xfId="16833"/>
    <cellStyle name="Dane wyjściowe 2 4 21 3" xfId="16834"/>
    <cellStyle name="Dane wyjściowe 2 4 22" xfId="16835"/>
    <cellStyle name="Dane wyjściowe 2 4 22 2" xfId="16836"/>
    <cellStyle name="Dane wyjściowe 2 4 22 3" xfId="16837"/>
    <cellStyle name="Dane wyjściowe 2 4 23" xfId="16838"/>
    <cellStyle name="Dane wyjściowe 2 4 23 2" xfId="16839"/>
    <cellStyle name="Dane wyjściowe 2 4 23 3" xfId="16840"/>
    <cellStyle name="Dane wyjściowe 2 4 24" xfId="16841"/>
    <cellStyle name="Dane wyjściowe 2 4 24 2" xfId="16842"/>
    <cellStyle name="Dane wyjściowe 2 4 24 3" xfId="16843"/>
    <cellStyle name="Dane wyjściowe 2 4 25" xfId="16844"/>
    <cellStyle name="Dane wyjściowe 2 4 25 2" xfId="16845"/>
    <cellStyle name="Dane wyjściowe 2 4 25 3" xfId="16846"/>
    <cellStyle name="Dane wyjściowe 2 4 26" xfId="16847"/>
    <cellStyle name="Dane wyjściowe 2 4 26 2" xfId="16848"/>
    <cellStyle name="Dane wyjściowe 2 4 26 3" xfId="16849"/>
    <cellStyle name="Dane wyjściowe 2 4 27" xfId="16850"/>
    <cellStyle name="Dane wyjściowe 2 4 27 2" xfId="16851"/>
    <cellStyle name="Dane wyjściowe 2 4 27 3" xfId="16852"/>
    <cellStyle name="Dane wyjściowe 2 4 28" xfId="16853"/>
    <cellStyle name="Dane wyjściowe 2 4 28 2" xfId="16854"/>
    <cellStyle name="Dane wyjściowe 2 4 28 3" xfId="16855"/>
    <cellStyle name="Dane wyjściowe 2 4 29" xfId="16856"/>
    <cellStyle name="Dane wyjściowe 2 4 29 2" xfId="16857"/>
    <cellStyle name="Dane wyjściowe 2 4 29 3" xfId="16858"/>
    <cellStyle name="Dane wyjściowe 2 4 3" xfId="16859"/>
    <cellStyle name="Dane wyjściowe 2 4 3 2" xfId="16860"/>
    <cellStyle name="Dane wyjściowe 2 4 3 3" xfId="16861"/>
    <cellStyle name="Dane wyjściowe 2 4 3 4" xfId="16862"/>
    <cellStyle name="Dane wyjściowe 2 4 30" xfId="16863"/>
    <cellStyle name="Dane wyjściowe 2 4 30 2" xfId="16864"/>
    <cellStyle name="Dane wyjściowe 2 4 30 3" xfId="16865"/>
    <cellStyle name="Dane wyjściowe 2 4 31" xfId="16866"/>
    <cellStyle name="Dane wyjściowe 2 4 31 2" xfId="16867"/>
    <cellStyle name="Dane wyjściowe 2 4 31 3" xfId="16868"/>
    <cellStyle name="Dane wyjściowe 2 4 32" xfId="16869"/>
    <cellStyle name="Dane wyjściowe 2 4 32 2" xfId="16870"/>
    <cellStyle name="Dane wyjściowe 2 4 32 3" xfId="16871"/>
    <cellStyle name="Dane wyjściowe 2 4 33" xfId="16872"/>
    <cellStyle name="Dane wyjściowe 2 4 33 2" xfId="16873"/>
    <cellStyle name="Dane wyjściowe 2 4 33 3" xfId="16874"/>
    <cellStyle name="Dane wyjściowe 2 4 34" xfId="16875"/>
    <cellStyle name="Dane wyjściowe 2 4 34 2" xfId="16876"/>
    <cellStyle name="Dane wyjściowe 2 4 34 3" xfId="16877"/>
    <cellStyle name="Dane wyjściowe 2 4 35" xfId="16878"/>
    <cellStyle name="Dane wyjściowe 2 4 35 2" xfId="16879"/>
    <cellStyle name="Dane wyjściowe 2 4 35 3" xfId="16880"/>
    <cellStyle name="Dane wyjściowe 2 4 36" xfId="16881"/>
    <cellStyle name="Dane wyjściowe 2 4 36 2" xfId="16882"/>
    <cellStyle name="Dane wyjściowe 2 4 36 3" xfId="16883"/>
    <cellStyle name="Dane wyjściowe 2 4 37" xfId="16884"/>
    <cellStyle name="Dane wyjściowe 2 4 37 2" xfId="16885"/>
    <cellStyle name="Dane wyjściowe 2 4 37 3" xfId="16886"/>
    <cellStyle name="Dane wyjściowe 2 4 38" xfId="16887"/>
    <cellStyle name="Dane wyjściowe 2 4 38 2" xfId="16888"/>
    <cellStyle name="Dane wyjściowe 2 4 38 3" xfId="16889"/>
    <cellStyle name="Dane wyjściowe 2 4 39" xfId="16890"/>
    <cellStyle name="Dane wyjściowe 2 4 39 2" xfId="16891"/>
    <cellStyle name="Dane wyjściowe 2 4 39 3" xfId="16892"/>
    <cellStyle name="Dane wyjściowe 2 4 4" xfId="16893"/>
    <cellStyle name="Dane wyjściowe 2 4 4 2" xfId="16894"/>
    <cellStyle name="Dane wyjściowe 2 4 4 3" xfId="16895"/>
    <cellStyle name="Dane wyjściowe 2 4 4 4" xfId="16896"/>
    <cellStyle name="Dane wyjściowe 2 4 40" xfId="16897"/>
    <cellStyle name="Dane wyjściowe 2 4 40 2" xfId="16898"/>
    <cellStyle name="Dane wyjściowe 2 4 40 3" xfId="16899"/>
    <cellStyle name="Dane wyjściowe 2 4 41" xfId="16900"/>
    <cellStyle name="Dane wyjściowe 2 4 41 2" xfId="16901"/>
    <cellStyle name="Dane wyjściowe 2 4 41 3" xfId="16902"/>
    <cellStyle name="Dane wyjściowe 2 4 42" xfId="16903"/>
    <cellStyle name="Dane wyjściowe 2 4 42 2" xfId="16904"/>
    <cellStyle name="Dane wyjściowe 2 4 42 3" xfId="16905"/>
    <cellStyle name="Dane wyjściowe 2 4 43" xfId="16906"/>
    <cellStyle name="Dane wyjściowe 2 4 43 2" xfId="16907"/>
    <cellStyle name="Dane wyjściowe 2 4 43 3" xfId="16908"/>
    <cellStyle name="Dane wyjściowe 2 4 44" xfId="16909"/>
    <cellStyle name="Dane wyjściowe 2 4 44 2" xfId="16910"/>
    <cellStyle name="Dane wyjściowe 2 4 44 3" xfId="16911"/>
    <cellStyle name="Dane wyjściowe 2 4 45" xfId="16912"/>
    <cellStyle name="Dane wyjściowe 2 4 45 2" xfId="16913"/>
    <cellStyle name="Dane wyjściowe 2 4 45 3" xfId="16914"/>
    <cellStyle name="Dane wyjściowe 2 4 46" xfId="16915"/>
    <cellStyle name="Dane wyjściowe 2 4 46 2" xfId="16916"/>
    <cellStyle name="Dane wyjściowe 2 4 46 3" xfId="16917"/>
    <cellStyle name="Dane wyjściowe 2 4 47" xfId="16918"/>
    <cellStyle name="Dane wyjściowe 2 4 47 2" xfId="16919"/>
    <cellStyle name="Dane wyjściowe 2 4 47 3" xfId="16920"/>
    <cellStyle name="Dane wyjściowe 2 4 48" xfId="16921"/>
    <cellStyle name="Dane wyjściowe 2 4 48 2" xfId="16922"/>
    <cellStyle name="Dane wyjściowe 2 4 48 3" xfId="16923"/>
    <cellStyle name="Dane wyjściowe 2 4 49" xfId="16924"/>
    <cellStyle name="Dane wyjściowe 2 4 49 2" xfId="16925"/>
    <cellStyle name="Dane wyjściowe 2 4 49 3" xfId="16926"/>
    <cellStyle name="Dane wyjściowe 2 4 5" xfId="16927"/>
    <cellStyle name="Dane wyjściowe 2 4 5 2" xfId="16928"/>
    <cellStyle name="Dane wyjściowe 2 4 5 3" xfId="16929"/>
    <cellStyle name="Dane wyjściowe 2 4 5 4" xfId="16930"/>
    <cellStyle name="Dane wyjściowe 2 4 50" xfId="16931"/>
    <cellStyle name="Dane wyjściowe 2 4 50 2" xfId="16932"/>
    <cellStyle name="Dane wyjściowe 2 4 50 3" xfId="16933"/>
    <cellStyle name="Dane wyjściowe 2 4 51" xfId="16934"/>
    <cellStyle name="Dane wyjściowe 2 4 51 2" xfId="16935"/>
    <cellStyle name="Dane wyjściowe 2 4 51 3" xfId="16936"/>
    <cellStyle name="Dane wyjściowe 2 4 52" xfId="16937"/>
    <cellStyle name="Dane wyjściowe 2 4 52 2" xfId="16938"/>
    <cellStyle name="Dane wyjściowe 2 4 52 3" xfId="16939"/>
    <cellStyle name="Dane wyjściowe 2 4 53" xfId="16940"/>
    <cellStyle name="Dane wyjściowe 2 4 53 2" xfId="16941"/>
    <cellStyle name="Dane wyjściowe 2 4 53 3" xfId="16942"/>
    <cellStyle name="Dane wyjściowe 2 4 54" xfId="16943"/>
    <cellStyle name="Dane wyjściowe 2 4 54 2" xfId="16944"/>
    <cellStyle name="Dane wyjściowe 2 4 54 3" xfId="16945"/>
    <cellStyle name="Dane wyjściowe 2 4 55" xfId="16946"/>
    <cellStyle name="Dane wyjściowe 2 4 55 2" xfId="16947"/>
    <cellStyle name="Dane wyjściowe 2 4 55 3" xfId="16948"/>
    <cellStyle name="Dane wyjściowe 2 4 56" xfId="16949"/>
    <cellStyle name="Dane wyjściowe 2 4 56 2" xfId="16950"/>
    <cellStyle name="Dane wyjściowe 2 4 56 3" xfId="16951"/>
    <cellStyle name="Dane wyjściowe 2 4 57" xfId="16952"/>
    <cellStyle name="Dane wyjściowe 2 4 58" xfId="16953"/>
    <cellStyle name="Dane wyjściowe 2 4 6" xfId="16954"/>
    <cellStyle name="Dane wyjściowe 2 4 6 2" xfId="16955"/>
    <cellStyle name="Dane wyjściowe 2 4 6 3" xfId="16956"/>
    <cellStyle name="Dane wyjściowe 2 4 6 4" xfId="16957"/>
    <cellStyle name="Dane wyjściowe 2 4 7" xfId="16958"/>
    <cellStyle name="Dane wyjściowe 2 4 7 2" xfId="16959"/>
    <cellStyle name="Dane wyjściowe 2 4 7 3" xfId="16960"/>
    <cellStyle name="Dane wyjściowe 2 4 7 4" xfId="16961"/>
    <cellStyle name="Dane wyjściowe 2 4 8" xfId="16962"/>
    <cellStyle name="Dane wyjściowe 2 4 8 2" xfId="16963"/>
    <cellStyle name="Dane wyjściowe 2 4 8 3" xfId="16964"/>
    <cellStyle name="Dane wyjściowe 2 4 8 4" xfId="16965"/>
    <cellStyle name="Dane wyjściowe 2 4 9" xfId="16966"/>
    <cellStyle name="Dane wyjściowe 2 4 9 2" xfId="16967"/>
    <cellStyle name="Dane wyjściowe 2 4 9 3" xfId="16968"/>
    <cellStyle name="Dane wyjściowe 2 4 9 4" xfId="16969"/>
    <cellStyle name="Dane wyjściowe 2 40" xfId="16970"/>
    <cellStyle name="Dane wyjściowe 2 40 2" xfId="16971"/>
    <cellStyle name="Dane wyjściowe 2 40 3" xfId="16972"/>
    <cellStyle name="Dane wyjściowe 2 40 4" xfId="16973"/>
    <cellStyle name="Dane wyjściowe 2 41" xfId="16974"/>
    <cellStyle name="Dane wyjściowe 2 41 2" xfId="16975"/>
    <cellStyle name="Dane wyjściowe 2 41 3" xfId="16976"/>
    <cellStyle name="Dane wyjściowe 2 41 4" xfId="16977"/>
    <cellStyle name="Dane wyjściowe 2 42" xfId="16978"/>
    <cellStyle name="Dane wyjściowe 2 42 2" xfId="16979"/>
    <cellStyle name="Dane wyjściowe 2 42 3" xfId="16980"/>
    <cellStyle name="Dane wyjściowe 2 42 4" xfId="16981"/>
    <cellStyle name="Dane wyjściowe 2 43" xfId="16982"/>
    <cellStyle name="Dane wyjściowe 2 43 2" xfId="16983"/>
    <cellStyle name="Dane wyjściowe 2 43 3" xfId="16984"/>
    <cellStyle name="Dane wyjściowe 2 43 4" xfId="16985"/>
    <cellStyle name="Dane wyjściowe 2 44" xfId="16986"/>
    <cellStyle name="Dane wyjściowe 2 44 2" xfId="16987"/>
    <cellStyle name="Dane wyjściowe 2 44 3" xfId="16988"/>
    <cellStyle name="Dane wyjściowe 2 44 4" xfId="16989"/>
    <cellStyle name="Dane wyjściowe 2 45" xfId="16990"/>
    <cellStyle name="Dane wyjściowe 2 45 2" xfId="16991"/>
    <cellStyle name="Dane wyjściowe 2 45 3" xfId="16992"/>
    <cellStyle name="Dane wyjściowe 2 45 4" xfId="16993"/>
    <cellStyle name="Dane wyjściowe 2 46" xfId="16994"/>
    <cellStyle name="Dane wyjściowe 2 46 2" xfId="16995"/>
    <cellStyle name="Dane wyjściowe 2 46 3" xfId="16996"/>
    <cellStyle name="Dane wyjściowe 2 46 4" xfId="16997"/>
    <cellStyle name="Dane wyjściowe 2 47" xfId="16998"/>
    <cellStyle name="Dane wyjściowe 2 47 2" xfId="16999"/>
    <cellStyle name="Dane wyjściowe 2 47 3" xfId="17000"/>
    <cellStyle name="Dane wyjściowe 2 47 4" xfId="17001"/>
    <cellStyle name="Dane wyjściowe 2 48" xfId="17002"/>
    <cellStyle name="Dane wyjściowe 2 48 2" xfId="17003"/>
    <cellStyle name="Dane wyjściowe 2 48 3" xfId="17004"/>
    <cellStyle name="Dane wyjściowe 2 48 4" xfId="17005"/>
    <cellStyle name="Dane wyjściowe 2 49" xfId="17006"/>
    <cellStyle name="Dane wyjściowe 2 49 2" xfId="17007"/>
    <cellStyle name="Dane wyjściowe 2 49 3" xfId="17008"/>
    <cellStyle name="Dane wyjściowe 2 49 4" xfId="17009"/>
    <cellStyle name="Dane wyjściowe 2 5" xfId="17010"/>
    <cellStyle name="Dane wyjściowe 2 5 10" xfId="17011"/>
    <cellStyle name="Dane wyjściowe 2 5 10 2" xfId="17012"/>
    <cellStyle name="Dane wyjściowe 2 5 10 3" xfId="17013"/>
    <cellStyle name="Dane wyjściowe 2 5 10 4" xfId="17014"/>
    <cellStyle name="Dane wyjściowe 2 5 11" xfId="17015"/>
    <cellStyle name="Dane wyjściowe 2 5 11 2" xfId="17016"/>
    <cellStyle name="Dane wyjściowe 2 5 11 3" xfId="17017"/>
    <cellStyle name="Dane wyjściowe 2 5 11 4" xfId="17018"/>
    <cellStyle name="Dane wyjściowe 2 5 12" xfId="17019"/>
    <cellStyle name="Dane wyjściowe 2 5 12 2" xfId="17020"/>
    <cellStyle name="Dane wyjściowe 2 5 12 3" xfId="17021"/>
    <cellStyle name="Dane wyjściowe 2 5 12 4" xfId="17022"/>
    <cellStyle name="Dane wyjściowe 2 5 13" xfId="17023"/>
    <cellStyle name="Dane wyjściowe 2 5 13 2" xfId="17024"/>
    <cellStyle name="Dane wyjściowe 2 5 13 3" xfId="17025"/>
    <cellStyle name="Dane wyjściowe 2 5 13 4" xfId="17026"/>
    <cellStyle name="Dane wyjściowe 2 5 14" xfId="17027"/>
    <cellStyle name="Dane wyjściowe 2 5 14 2" xfId="17028"/>
    <cellStyle name="Dane wyjściowe 2 5 14 3" xfId="17029"/>
    <cellStyle name="Dane wyjściowe 2 5 14 4" xfId="17030"/>
    <cellStyle name="Dane wyjściowe 2 5 15" xfId="17031"/>
    <cellStyle name="Dane wyjściowe 2 5 15 2" xfId="17032"/>
    <cellStyle name="Dane wyjściowe 2 5 15 3" xfId="17033"/>
    <cellStyle name="Dane wyjściowe 2 5 15 4" xfId="17034"/>
    <cellStyle name="Dane wyjściowe 2 5 16" xfId="17035"/>
    <cellStyle name="Dane wyjściowe 2 5 16 2" xfId="17036"/>
    <cellStyle name="Dane wyjściowe 2 5 16 3" xfId="17037"/>
    <cellStyle name="Dane wyjściowe 2 5 16 4" xfId="17038"/>
    <cellStyle name="Dane wyjściowe 2 5 17" xfId="17039"/>
    <cellStyle name="Dane wyjściowe 2 5 17 2" xfId="17040"/>
    <cellStyle name="Dane wyjściowe 2 5 17 3" xfId="17041"/>
    <cellStyle name="Dane wyjściowe 2 5 17 4" xfId="17042"/>
    <cellStyle name="Dane wyjściowe 2 5 18" xfId="17043"/>
    <cellStyle name="Dane wyjściowe 2 5 18 2" xfId="17044"/>
    <cellStyle name="Dane wyjściowe 2 5 18 3" xfId="17045"/>
    <cellStyle name="Dane wyjściowe 2 5 18 4" xfId="17046"/>
    <cellStyle name="Dane wyjściowe 2 5 19" xfId="17047"/>
    <cellStyle name="Dane wyjściowe 2 5 19 2" xfId="17048"/>
    <cellStyle name="Dane wyjściowe 2 5 19 3" xfId="17049"/>
    <cellStyle name="Dane wyjściowe 2 5 19 4" xfId="17050"/>
    <cellStyle name="Dane wyjściowe 2 5 2" xfId="17051"/>
    <cellStyle name="Dane wyjściowe 2 5 2 2" xfId="17052"/>
    <cellStyle name="Dane wyjściowe 2 5 2 3" xfId="17053"/>
    <cellStyle name="Dane wyjściowe 2 5 2 4" xfId="17054"/>
    <cellStyle name="Dane wyjściowe 2 5 20" xfId="17055"/>
    <cellStyle name="Dane wyjściowe 2 5 20 2" xfId="17056"/>
    <cellStyle name="Dane wyjściowe 2 5 20 3" xfId="17057"/>
    <cellStyle name="Dane wyjściowe 2 5 20 4" xfId="17058"/>
    <cellStyle name="Dane wyjściowe 2 5 21" xfId="17059"/>
    <cellStyle name="Dane wyjściowe 2 5 21 2" xfId="17060"/>
    <cellStyle name="Dane wyjściowe 2 5 21 3" xfId="17061"/>
    <cellStyle name="Dane wyjściowe 2 5 22" xfId="17062"/>
    <cellStyle name="Dane wyjściowe 2 5 22 2" xfId="17063"/>
    <cellStyle name="Dane wyjściowe 2 5 22 3" xfId="17064"/>
    <cellStyle name="Dane wyjściowe 2 5 23" xfId="17065"/>
    <cellStyle name="Dane wyjściowe 2 5 23 2" xfId="17066"/>
    <cellStyle name="Dane wyjściowe 2 5 23 3" xfId="17067"/>
    <cellStyle name="Dane wyjściowe 2 5 24" xfId="17068"/>
    <cellStyle name="Dane wyjściowe 2 5 24 2" xfId="17069"/>
    <cellStyle name="Dane wyjściowe 2 5 24 3" xfId="17070"/>
    <cellStyle name="Dane wyjściowe 2 5 25" xfId="17071"/>
    <cellStyle name="Dane wyjściowe 2 5 25 2" xfId="17072"/>
    <cellStyle name="Dane wyjściowe 2 5 25 3" xfId="17073"/>
    <cellStyle name="Dane wyjściowe 2 5 26" xfId="17074"/>
    <cellStyle name="Dane wyjściowe 2 5 26 2" xfId="17075"/>
    <cellStyle name="Dane wyjściowe 2 5 26 3" xfId="17076"/>
    <cellStyle name="Dane wyjściowe 2 5 27" xfId="17077"/>
    <cellStyle name="Dane wyjściowe 2 5 27 2" xfId="17078"/>
    <cellStyle name="Dane wyjściowe 2 5 27 3" xfId="17079"/>
    <cellStyle name="Dane wyjściowe 2 5 28" xfId="17080"/>
    <cellStyle name="Dane wyjściowe 2 5 28 2" xfId="17081"/>
    <cellStyle name="Dane wyjściowe 2 5 28 3" xfId="17082"/>
    <cellStyle name="Dane wyjściowe 2 5 29" xfId="17083"/>
    <cellStyle name="Dane wyjściowe 2 5 29 2" xfId="17084"/>
    <cellStyle name="Dane wyjściowe 2 5 29 3" xfId="17085"/>
    <cellStyle name="Dane wyjściowe 2 5 3" xfId="17086"/>
    <cellStyle name="Dane wyjściowe 2 5 3 2" xfId="17087"/>
    <cellStyle name="Dane wyjściowe 2 5 3 3" xfId="17088"/>
    <cellStyle name="Dane wyjściowe 2 5 3 4" xfId="17089"/>
    <cellStyle name="Dane wyjściowe 2 5 30" xfId="17090"/>
    <cellStyle name="Dane wyjściowe 2 5 30 2" xfId="17091"/>
    <cellStyle name="Dane wyjściowe 2 5 30 3" xfId="17092"/>
    <cellStyle name="Dane wyjściowe 2 5 31" xfId="17093"/>
    <cellStyle name="Dane wyjściowe 2 5 31 2" xfId="17094"/>
    <cellStyle name="Dane wyjściowe 2 5 31 3" xfId="17095"/>
    <cellStyle name="Dane wyjściowe 2 5 32" xfId="17096"/>
    <cellStyle name="Dane wyjściowe 2 5 32 2" xfId="17097"/>
    <cellStyle name="Dane wyjściowe 2 5 32 3" xfId="17098"/>
    <cellStyle name="Dane wyjściowe 2 5 33" xfId="17099"/>
    <cellStyle name="Dane wyjściowe 2 5 33 2" xfId="17100"/>
    <cellStyle name="Dane wyjściowe 2 5 33 3" xfId="17101"/>
    <cellStyle name="Dane wyjściowe 2 5 34" xfId="17102"/>
    <cellStyle name="Dane wyjściowe 2 5 34 2" xfId="17103"/>
    <cellStyle name="Dane wyjściowe 2 5 34 3" xfId="17104"/>
    <cellStyle name="Dane wyjściowe 2 5 35" xfId="17105"/>
    <cellStyle name="Dane wyjściowe 2 5 35 2" xfId="17106"/>
    <cellStyle name="Dane wyjściowe 2 5 35 3" xfId="17107"/>
    <cellStyle name="Dane wyjściowe 2 5 36" xfId="17108"/>
    <cellStyle name="Dane wyjściowe 2 5 36 2" xfId="17109"/>
    <cellStyle name="Dane wyjściowe 2 5 36 3" xfId="17110"/>
    <cellStyle name="Dane wyjściowe 2 5 37" xfId="17111"/>
    <cellStyle name="Dane wyjściowe 2 5 37 2" xfId="17112"/>
    <cellStyle name="Dane wyjściowe 2 5 37 3" xfId="17113"/>
    <cellStyle name="Dane wyjściowe 2 5 38" xfId="17114"/>
    <cellStyle name="Dane wyjściowe 2 5 38 2" xfId="17115"/>
    <cellStyle name="Dane wyjściowe 2 5 38 3" xfId="17116"/>
    <cellStyle name="Dane wyjściowe 2 5 39" xfId="17117"/>
    <cellStyle name="Dane wyjściowe 2 5 39 2" xfId="17118"/>
    <cellStyle name="Dane wyjściowe 2 5 39 3" xfId="17119"/>
    <cellStyle name="Dane wyjściowe 2 5 4" xfId="17120"/>
    <cellStyle name="Dane wyjściowe 2 5 4 2" xfId="17121"/>
    <cellStyle name="Dane wyjściowe 2 5 4 3" xfId="17122"/>
    <cellStyle name="Dane wyjściowe 2 5 4 4" xfId="17123"/>
    <cellStyle name="Dane wyjściowe 2 5 40" xfId="17124"/>
    <cellStyle name="Dane wyjściowe 2 5 40 2" xfId="17125"/>
    <cellStyle name="Dane wyjściowe 2 5 40 3" xfId="17126"/>
    <cellStyle name="Dane wyjściowe 2 5 41" xfId="17127"/>
    <cellStyle name="Dane wyjściowe 2 5 41 2" xfId="17128"/>
    <cellStyle name="Dane wyjściowe 2 5 41 3" xfId="17129"/>
    <cellStyle name="Dane wyjściowe 2 5 42" xfId="17130"/>
    <cellStyle name="Dane wyjściowe 2 5 42 2" xfId="17131"/>
    <cellStyle name="Dane wyjściowe 2 5 42 3" xfId="17132"/>
    <cellStyle name="Dane wyjściowe 2 5 43" xfId="17133"/>
    <cellStyle name="Dane wyjściowe 2 5 43 2" xfId="17134"/>
    <cellStyle name="Dane wyjściowe 2 5 43 3" xfId="17135"/>
    <cellStyle name="Dane wyjściowe 2 5 44" xfId="17136"/>
    <cellStyle name="Dane wyjściowe 2 5 44 2" xfId="17137"/>
    <cellStyle name="Dane wyjściowe 2 5 44 3" xfId="17138"/>
    <cellStyle name="Dane wyjściowe 2 5 45" xfId="17139"/>
    <cellStyle name="Dane wyjściowe 2 5 45 2" xfId="17140"/>
    <cellStyle name="Dane wyjściowe 2 5 45 3" xfId="17141"/>
    <cellStyle name="Dane wyjściowe 2 5 46" xfId="17142"/>
    <cellStyle name="Dane wyjściowe 2 5 46 2" xfId="17143"/>
    <cellStyle name="Dane wyjściowe 2 5 46 3" xfId="17144"/>
    <cellStyle name="Dane wyjściowe 2 5 47" xfId="17145"/>
    <cellStyle name="Dane wyjściowe 2 5 47 2" xfId="17146"/>
    <cellStyle name="Dane wyjściowe 2 5 47 3" xfId="17147"/>
    <cellStyle name="Dane wyjściowe 2 5 48" xfId="17148"/>
    <cellStyle name="Dane wyjściowe 2 5 48 2" xfId="17149"/>
    <cellStyle name="Dane wyjściowe 2 5 48 3" xfId="17150"/>
    <cellStyle name="Dane wyjściowe 2 5 49" xfId="17151"/>
    <cellStyle name="Dane wyjściowe 2 5 49 2" xfId="17152"/>
    <cellStyle name="Dane wyjściowe 2 5 49 3" xfId="17153"/>
    <cellStyle name="Dane wyjściowe 2 5 5" xfId="17154"/>
    <cellStyle name="Dane wyjściowe 2 5 5 2" xfId="17155"/>
    <cellStyle name="Dane wyjściowe 2 5 5 3" xfId="17156"/>
    <cellStyle name="Dane wyjściowe 2 5 5 4" xfId="17157"/>
    <cellStyle name="Dane wyjściowe 2 5 50" xfId="17158"/>
    <cellStyle name="Dane wyjściowe 2 5 50 2" xfId="17159"/>
    <cellStyle name="Dane wyjściowe 2 5 50 3" xfId="17160"/>
    <cellStyle name="Dane wyjściowe 2 5 51" xfId="17161"/>
    <cellStyle name="Dane wyjściowe 2 5 51 2" xfId="17162"/>
    <cellStyle name="Dane wyjściowe 2 5 51 3" xfId="17163"/>
    <cellStyle name="Dane wyjściowe 2 5 52" xfId="17164"/>
    <cellStyle name="Dane wyjściowe 2 5 52 2" xfId="17165"/>
    <cellStyle name="Dane wyjściowe 2 5 52 3" xfId="17166"/>
    <cellStyle name="Dane wyjściowe 2 5 53" xfId="17167"/>
    <cellStyle name="Dane wyjściowe 2 5 53 2" xfId="17168"/>
    <cellStyle name="Dane wyjściowe 2 5 53 3" xfId="17169"/>
    <cellStyle name="Dane wyjściowe 2 5 54" xfId="17170"/>
    <cellStyle name="Dane wyjściowe 2 5 54 2" xfId="17171"/>
    <cellStyle name="Dane wyjściowe 2 5 54 3" xfId="17172"/>
    <cellStyle name="Dane wyjściowe 2 5 55" xfId="17173"/>
    <cellStyle name="Dane wyjściowe 2 5 55 2" xfId="17174"/>
    <cellStyle name="Dane wyjściowe 2 5 55 3" xfId="17175"/>
    <cellStyle name="Dane wyjściowe 2 5 56" xfId="17176"/>
    <cellStyle name="Dane wyjściowe 2 5 56 2" xfId="17177"/>
    <cellStyle name="Dane wyjściowe 2 5 56 3" xfId="17178"/>
    <cellStyle name="Dane wyjściowe 2 5 57" xfId="17179"/>
    <cellStyle name="Dane wyjściowe 2 5 58" xfId="17180"/>
    <cellStyle name="Dane wyjściowe 2 5 6" xfId="17181"/>
    <cellStyle name="Dane wyjściowe 2 5 6 2" xfId="17182"/>
    <cellStyle name="Dane wyjściowe 2 5 6 3" xfId="17183"/>
    <cellStyle name="Dane wyjściowe 2 5 6 4" xfId="17184"/>
    <cellStyle name="Dane wyjściowe 2 5 7" xfId="17185"/>
    <cellStyle name="Dane wyjściowe 2 5 7 2" xfId="17186"/>
    <cellStyle name="Dane wyjściowe 2 5 7 3" xfId="17187"/>
    <cellStyle name="Dane wyjściowe 2 5 7 4" xfId="17188"/>
    <cellStyle name="Dane wyjściowe 2 5 8" xfId="17189"/>
    <cellStyle name="Dane wyjściowe 2 5 8 2" xfId="17190"/>
    <cellStyle name="Dane wyjściowe 2 5 8 3" xfId="17191"/>
    <cellStyle name="Dane wyjściowe 2 5 8 4" xfId="17192"/>
    <cellStyle name="Dane wyjściowe 2 5 9" xfId="17193"/>
    <cellStyle name="Dane wyjściowe 2 5 9 2" xfId="17194"/>
    <cellStyle name="Dane wyjściowe 2 5 9 3" xfId="17195"/>
    <cellStyle name="Dane wyjściowe 2 5 9 4" xfId="17196"/>
    <cellStyle name="Dane wyjściowe 2 50" xfId="17197"/>
    <cellStyle name="Dane wyjściowe 2 50 2" xfId="17198"/>
    <cellStyle name="Dane wyjściowe 2 50 3" xfId="17199"/>
    <cellStyle name="Dane wyjściowe 2 50 4" xfId="17200"/>
    <cellStyle name="Dane wyjściowe 2 51" xfId="17201"/>
    <cellStyle name="Dane wyjściowe 2 51 2" xfId="17202"/>
    <cellStyle name="Dane wyjściowe 2 51 3" xfId="17203"/>
    <cellStyle name="Dane wyjściowe 2 51 4" xfId="17204"/>
    <cellStyle name="Dane wyjściowe 2 52" xfId="17205"/>
    <cellStyle name="Dane wyjściowe 2 52 2" xfId="17206"/>
    <cellStyle name="Dane wyjściowe 2 52 3" xfId="17207"/>
    <cellStyle name="Dane wyjściowe 2 52 4" xfId="17208"/>
    <cellStyle name="Dane wyjściowe 2 53" xfId="17209"/>
    <cellStyle name="Dane wyjściowe 2 53 2" xfId="17210"/>
    <cellStyle name="Dane wyjściowe 2 53 3" xfId="17211"/>
    <cellStyle name="Dane wyjściowe 2 53 4" xfId="17212"/>
    <cellStyle name="Dane wyjściowe 2 54" xfId="17213"/>
    <cellStyle name="Dane wyjściowe 2 54 2" xfId="17214"/>
    <cellStyle name="Dane wyjściowe 2 54 3" xfId="17215"/>
    <cellStyle name="Dane wyjściowe 2 54 4" xfId="17216"/>
    <cellStyle name="Dane wyjściowe 2 55" xfId="17217"/>
    <cellStyle name="Dane wyjściowe 2 55 2" xfId="17218"/>
    <cellStyle name="Dane wyjściowe 2 55 3" xfId="17219"/>
    <cellStyle name="Dane wyjściowe 2 55 4" xfId="17220"/>
    <cellStyle name="Dane wyjściowe 2 56" xfId="17221"/>
    <cellStyle name="Dane wyjściowe 2 56 2" xfId="17222"/>
    <cellStyle name="Dane wyjściowe 2 56 3" xfId="17223"/>
    <cellStyle name="Dane wyjściowe 2 56 4" xfId="17224"/>
    <cellStyle name="Dane wyjściowe 2 57" xfId="17225"/>
    <cellStyle name="Dane wyjściowe 2 57 2" xfId="17226"/>
    <cellStyle name="Dane wyjściowe 2 57 3" xfId="17227"/>
    <cellStyle name="Dane wyjściowe 2 57 4" xfId="17228"/>
    <cellStyle name="Dane wyjściowe 2 58" xfId="17229"/>
    <cellStyle name="Dane wyjściowe 2 58 2" xfId="17230"/>
    <cellStyle name="Dane wyjściowe 2 58 3" xfId="17231"/>
    <cellStyle name="Dane wyjściowe 2 58 4" xfId="17232"/>
    <cellStyle name="Dane wyjściowe 2 59" xfId="17233"/>
    <cellStyle name="Dane wyjściowe 2 59 2" xfId="17234"/>
    <cellStyle name="Dane wyjściowe 2 59 3" xfId="17235"/>
    <cellStyle name="Dane wyjściowe 2 59 4" xfId="17236"/>
    <cellStyle name="Dane wyjściowe 2 6" xfId="17237"/>
    <cellStyle name="Dane wyjściowe 2 6 10" xfId="17238"/>
    <cellStyle name="Dane wyjściowe 2 6 10 2" xfId="17239"/>
    <cellStyle name="Dane wyjściowe 2 6 10 3" xfId="17240"/>
    <cellStyle name="Dane wyjściowe 2 6 10 4" xfId="17241"/>
    <cellStyle name="Dane wyjściowe 2 6 11" xfId="17242"/>
    <cellStyle name="Dane wyjściowe 2 6 11 2" xfId="17243"/>
    <cellStyle name="Dane wyjściowe 2 6 11 3" xfId="17244"/>
    <cellStyle name="Dane wyjściowe 2 6 11 4" xfId="17245"/>
    <cellStyle name="Dane wyjściowe 2 6 12" xfId="17246"/>
    <cellStyle name="Dane wyjściowe 2 6 12 2" xfId="17247"/>
    <cellStyle name="Dane wyjściowe 2 6 12 3" xfId="17248"/>
    <cellStyle name="Dane wyjściowe 2 6 12 4" xfId="17249"/>
    <cellStyle name="Dane wyjściowe 2 6 13" xfId="17250"/>
    <cellStyle name="Dane wyjściowe 2 6 13 2" xfId="17251"/>
    <cellStyle name="Dane wyjściowe 2 6 13 3" xfId="17252"/>
    <cellStyle name="Dane wyjściowe 2 6 13 4" xfId="17253"/>
    <cellStyle name="Dane wyjściowe 2 6 14" xfId="17254"/>
    <cellStyle name="Dane wyjściowe 2 6 14 2" xfId="17255"/>
    <cellStyle name="Dane wyjściowe 2 6 14 3" xfId="17256"/>
    <cellStyle name="Dane wyjściowe 2 6 14 4" xfId="17257"/>
    <cellStyle name="Dane wyjściowe 2 6 15" xfId="17258"/>
    <cellStyle name="Dane wyjściowe 2 6 15 2" xfId="17259"/>
    <cellStyle name="Dane wyjściowe 2 6 15 3" xfId="17260"/>
    <cellStyle name="Dane wyjściowe 2 6 15 4" xfId="17261"/>
    <cellStyle name="Dane wyjściowe 2 6 16" xfId="17262"/>
    <cellStyle name="Dane wyjściowe 2 6 16 2" xfId="17263"/>
    <cellStyle name="Dane wyjściowe 2 6 16 3" xfId="17264"/>
    <cellStyle name="Dane wyjściowe 2 6 16 4" xfId="17265"/>
    <cellStyle name="Dane wyjściowe 2 6 17" xfId="17266"/>
    <cellStyle name="Dane wyjściowe 2 6 17 2" xfId="17267"/>
    <cellStyle name="Dane wyjściowe 2 6 17 3" xfId="17268"/>
    <cellStyle name="Dane wyjściowe 2 6 17 4" xfId="17269"/>
    <cellStyle name="Dane wyjściowe 2 6 18" xfId="17270"/>
    <cellStyle name="Dane wyjściowe 2 6 18 2" xfId="17271"/>
    <cellStyle name="Dane wyjściowe 2 6 18 3" xfId="17272"/>
    <cellStyle name="Dane wyjściowe 2 6 18 4" xfId="17273"/>
    <cellStyle name="Dane wyjściowe 2 6 19" xfId="17274"/>
    <cellStyle name="Dane wyjściowe 2 6 19 2" xfId="17275"/>
    <cellStyle name="Dane wyjściowe 2 6 19 3" xfId="17276"/>
    <cellStyle name="Dane wyjściowe 2 6 19 4" xfId="17277"/>
    <cellStyle name="Dane wyjściowe 2 6 2" xfId="17278"/>
    <cellStyle name="Dane wyjściowe 2 6 2 2" xfId="17279"/>
    <cellStyle name="Dane wyjściowe 2 6 2 3" xfId="17280"/>
    <cellStyle name="Dane wyjściowe 2 6 2 4" xfId="17281"/>
    <cellStyle name="Dane wyjściowe 2 6 20" xfId="17282"/>
    <cellStyle name="Dane wyjściowe 2 6 20 2" xfId="17283"/>
    <cellStyle name="Dane wyjściowe 2 6 20 3" xfId="17284"/>
    <cellStyle name="Dane wyjściowe 2 6 20 4" xfId="17285"/>
    <cellStyle name="Dane wyjściowe 2 6 21" xfId="17286"/>
    <cellStyle name="Dane wyjściowe 2 6 21 2" xfId="17287"/>
    <cellStyle name="Dane wyjściowe 2 6 21 3" xfId="17288"/>
    <cellStyle name="Dane wyjściowe 2 6 22" xfId="17289"/>
    <cellStyle name="Dane wyjściowe 2 6 22 2" xfId="17290"/>
    <cellStyle name="Dane wyjściowe 2 6 22 3" xfId="17291"/>
    <cellStyle name="Dane wyjściowe 2 6 23" xfId="17292"/>
    <cellStyle name="Dane wyjściowe 2 6 23 2" xfId="17293"/>
    <cellStyle name="Dane wyjściowe 2 6 23 3" xfId="17294"/>
    <cellStyle name="Dane wyjściowe 2 6 24" xfId="17295"/>
    <cellStyle name="Dane wyjściowe 2 6 24 2" xfId="17296"/>
    <cellStyle name="Dane wyjściowe 2 6 24 3" xfId="17297"/>
    <cellStyle name="Dane wyjściowe 2 6 25" xfId="17298"/>
    <cellStyle name="Dane wyjściowe 2 6 25 2" xfId="17299"/>
    <cellStyle name="Dane wyjściowe 2 6 25 3" xfId="17300"/>
    <cellStyle name="Dane wyjściowe 2 6 26" xfId="17301"/>
    <cellStyle name="Dane wyjściowe 2 6 26 2" xfId="17302"/>
    <cellStyle name="Dane wyjściowe 2 6 26 3" xfId="17303"/>
    <cellStyle name="Dane wyjściowe 2 6 27" xfId="17304"/>
    <cellStyle name="Dane wyjściowe 2 6 27 2" xfId="17305"/>
    <cellStyle name="Dane wyjściowe 2 6 27 3" xfId="17306"/>
    <cellStyle name="Dane wyjściowe 2 6 28" xfId="17307"/>
    <cellStyle name="Dane wyjściowe 2 6 28 2" xfId="17308"/>
    <cellStyle name="Dane wyjściowe 2 6 28 3" xfId="17309"/>
    <cellStyle name="Dane wyjściowe 2 6 29" xfId="17310"/>
    <cellStyle name="Dane wyjściowe 2 6 29 2" xfId="17311"/>
    <cellStyle name="Dane wyjściowe 2 6 29 3" xfId="17312"/>
    <cellStyle name="Dane wyjściowe 2 6 3" xfId="17313"/>
    <cellStyle name="Dane wyjściowe 2 6 3 2" xfId="17314"/>
    <cellStyle name="Dane wyjściowe 2 6 3 3" xfId="17315"/>
    <cellStyle name="Dane wyjściowe 2 6 3 4" xfId="17316"/>
    <cellStyle name="Dane wyjściowe 2 6 30" xfId="17317"/>
    <cellStyle name="Dane wyjściowe 2 6 30 2" xfId="17318"/>
    <cellStyle name="Dane wyjściowe 2 6 30 3" xfId="17319"/>
    <cellStyle name="Dane wyjściowe 2 6 31" xfId="17320"/>
    <cellStyle name="Dane wyjściowe 2 6 31 2" xfId="17321"/>
    <cellStyle name="Dane wyjściowe 2 6 31 3" xfId="17322"/>
    <cellStyle name="Dane wyjściowe 2 6 32" xfId="17323"/>
    <cellStyle name="Dane wyjściowe 2 6 32 2" xfId="17324"/>
    <cellStyle name="Dane wyjściowe 2 6 32 3" xfId="17325"/>
    <cellStyle name="Dane wyjściowe 2 6 33" xfId="17326"/>
    <cellStyle name="Dane wyjściowe 2 6 33 2" xfId="17327"/>
    <cellStyle name="Dane wyjściowe 2 6 33 3" xfId="17328"/>
    <cellStyle name="Dane wyjściowe 2 6 34" xfId="17329"/>
    <cellStyle name="Dane wyjściowe 2 6 34 2" xfId="17330"/>
    <cellStyle name="Dane wyjściowe 2 6 34 3" xfId="17331"/>
    <cellStyle name="Dane wyjściowe 2 6 35" xfId="17332"/>
    <cellStyle name="Dane wyjściowe 2 6 35 2" xfId="17333"/>
    <cellStyle name="Dane wyjściowe 2 6 35 3" xfId="17334"/>
    <cellStyle name="Dane wyjściowe 2 6 36" xfId="17335"/>
    <cellStyle name="Dane wyjściowe 2 6 36 2" xfId="17336"/>
    <cellStyle name="Dane wyjściowe 2 6 36 3" xfId="17337"/>
    <cellStyle name="Dane wyjściowe 2 6 37" xfId="17338"/>
    <cellStyle name="Dane wyjściowe 2 6 37 2" xfId="17339"/>
    <cellStyle name="Dane wyjściowe 2 6 37 3" xfId="17340"/>
    <cellStyle name="Dane wyjściowe 2 6 38" xfId="17341"/>
    <cellStyle name="Dane wyjściowe 2 6 38 2" xfId="17342"/>
    <cellStyle name="Dane wyjściowe 2 6 38 3" xfId="17343"/>
    <cellStyle name="Dane wyjściowe 2 6 39" xfId="17344"/>
    <cellStyle name="Dane wyjściowe 2 6 39 2" xfId="17345"/>
    <cellStyle name="Dane wyjściowe 2 6 39 3" xfId="17346"/>
    <cellStyle name="Dane wyjściowe 2 6 4" xfId="17347"/>
    <cellStyle name="Dane wyjściowe 2 6 4 2" xfId="17348"/>
    <cellStyle name="Dane wyjściowe 2 6 4 3" xfId="17349"/>
    <cellStyle name="Dane wyjściowe 2 6 4 4" xfId="17350"/>
    <cellStyle name="Dane wyjściowe 2 6 40" xfId="17351"/>
    <cellStyle name="Dane wyjściowe 2 6 40 2" xfId="17352"/>
    <cellStyle name="Dane wyjściowe 2 6 40 3" xfId="17353"/>
    <cellStyle name="Dane wyjściowe 2 6 41" xfId="17354"/>
    <cellStyle name="Dane wyjściowe 2 6 41 2" xfId="17355"/>
    <cellStyle name="Dane wyjściowe 2 6 41 3" xfId="17356"/>
    <cellStyle name="Dane wyjściowe 2 6 42" xfId="17357"/>
    <cellStyle name="Dane wyjściowe 2 6 42 2" xfId="17358"/>
    <cellStyle name="Dane wyjściowe 2 6 42 3" xfId="17359"/>
    <cellStyle name="Dane wyjściowe 2 6 43" xfId="17360"/>
    <cellStyle name="Dane wyjściowe 2 6 43 2" xfId="17361"/>
    <cellStyle name="Dane wyjściowe 2 6 43 3" xfId="17362"/>
    <cellStyle name="Dane wyjściowe 2 6 44" xfId="17363"/>
    <cellStyle name="Dane wyjściowe 2 6 44 2" xfId="17364"/>
    <cellStyle name="Dane wyjściowe 2 6 44 3" xfId="17365"/>
    <cellStyle name="Dane wyjściowe 2 6 45" xfId="17366"/>
    <cellStyle name="Dane wyjściowe 2 6 45 2" xfId="17367"/>
    <cellStyle name="Dane wyjściowe 2 6 45 3" xfId="17368"/>
    <cellStyle name="Dane wyjściowe 2 6 46" xfId="17369"/>
    <cellStyle name="Dane wyjściowe 2 6 46 2" xfId="17370"/>
    <cellStyle name="Dane wyjściowe 2 6 46 3" xfId="17371"/>
    <cellStyle name="Dane wyjściowe 2 6 47" xfId="17372"/>
    <cellStyle name="Dane wyjściowe 2 6 47 2" xfId="17373"/>
    <cellStyle name="Dane wyjściowe 2 6 47 3" xfId="17374"/>
    <cellStyle name="Dane wyjściowe 2 6 48" xfId="17375"/>
    <cellStyle name="Dane wyjściowe 2 6 48 2" xfId="17376"/>
    <cellStyle name="Dane wyjściowe 2 6 48 3" xfId="17377"/>
    <cellStyle name="Dane wyjściowe 2 6 49" xfId="17378"/>
    <cellStyle name="Dane wyjściowe 2 6 49 2" xfId="17379"/>
    <cellStyle name="Dane wyjściowe 2 6 49 3" xfId="17380"/>
    <cellStyle name="Dane wyjściowe 2 6 5" xfId="17381"/>
    <cellStyle name="Dane wyjściowe 2 6 5 2" xfId="17382"/>
    <cellStyle name="Dane wyjściowe 2 6 5 3" xfId="17383"/>
    <cellStyle name="Dane wyjściowe 2 6 5 4" xfId="17384"/>
    <cellStyle name="Dane wyjściowe 2 6 50" xfId="17385"/>
    <cellStyle name="Dane wyjściowe 2 6 50 2" xfId="17386"/>
    <cellStyle name="Dane wyjściowe 2 6 50 3" xfId="17387"/>
    <cellStyle name="Dane wyjściowe 2 6 51" xfId="17388"/>
    <cellStyle name="Dane wyjściowe 2 6 51 2" xfId="17389"/>
    <cellStyle name="Dane wyjściowe 2 6 51 3" xfId="17390"/>
    <cellStyle name="Dane wyjściowe 2 6 52" xfId="17391"/>
    <cellStyle name="Dane wyjściowe 2 6 52 2" xfId="17392"/>
    <cellStyle name="Dane wyjściowe 2 6 52 3" xfId="17393"/>
    <cellStyle name="Dane wyjściowe 2 6 53" xfId="17394"/>
    <cellStyle name="Dane wyjściowe 2 6 53 2" xfId="17395"/>
    <cellStyle name="Dane wyjściowe 2 6 53 3" xfId="17396"/>
    <cellStyle name="Dane wyjściowe 2 6 54" xfId="17397"/>
    <cellStyle name="Dane wyjściowe 2 6 54 2" xfId="17398"/>
    <cellStyle name="Dane wyjściowe 2 6 54 3" xfId="17399"/>
    <cellStyle name="Dane wyjściowe 2 6 55" xfId="17400"/>
    <cellStyle name="Dane wyjściowe 2 6 55 2" xfId="17401"/>
    <cellStyle name="Dane wyjściowe 2 6 55 3" xfId="17402"/>
    <cellStyle name="Dane wyjściowe 2 6 56" xfId="17403"/>
    <cellStyle name="Dane wyjściowe 2 6 56 2" xfId="17404"/>
    <cellStyle name="Dane wyjściowe 2 6 56 3" xfId="17405"/>
    <cellStyle name="Dane wyjściowe 2 6 57" xfId="17406"/>
    <cellStyle name="Dane wyjściowe 2 6 58" xfId="17407"/>
    <cellStyle name="Dane wyjściowe 2 6 6" xfId="17408"/>
    <cellStyle name="Dane wyjściowe 2 6 6 2" xfId="17409"/>
    <cellStyle name="Dane wyjściowe 2 6 6 3" xfId="17410"/>
    <cellStyle name="Dane wyjściowe 2 6 6 4" xfId="17411"/>
    <cellStyle name="Dane wyjściowe 2 6 7" xfId="17412"/>
    <cellStyle name="Dane wyjściowe 2 6 7 2" xfId="17413"/>
    <cellStyle name="Dane wyjściowe 2 6 7 3" xfId="17414"/>
    <cellStyle name="Dane wyjściowe 2 6 7 4" xfId="17415"/>
    <cellStyle name="Dane wyjściowe 2 6 8" xfId="17416"/>
    <cellStyle name="Dane wyjściowe 2 6 8 2" xfId="17417"/>
    <cellStyle name="Dane wyjściowe 2 6 8 3" xfId="17418"/>
    <cellStyle name="Dane wyjściowe 2 6 8 4" xfId="17419"/>
    <cellStyle name="Dane wyjściowe 2 6 9" xfId="17420"/>
    <cellStyle name="Dane wyjściowe 2 6 9 2" xfId="17421"/>
    <cellStyle name="Dane wyjściowe 2 6 9 3" xfId="17422"/>
    <cellStyle name="Dane wyjściowe 2 6 9 4" xfId="17423"/>
    <cellStyle name="Dane wyjściowe 2 60" xfId="17424"/>
    <cellStyle name="Dane wyjściowe 2 60 2" xfId="17425"/>
    <cellStyle name="Dane wyjściowe 2 60 3" xfId="17426"/>
    <cellStyle name="Dane wyjściowe 2 60 4" xfId="17427"/>
    <cellStyle name="Dane wyjściowe 2 61" xfId="17428"/>
    <cellStyle name="Dane wyjściowe 2 61 2" xfId="17429"/>
    <cellStyle name="Dane wyjściowe 2 61 3" xfId="17430"/>
    <cellStyle name="Dane wyjściowe 2 61 4" xfId="17431"/>
    <cellStyle name="Dane wyjściowe 2 62" xfId="17432"/>
    <cellStyle name="Dane wyjściowe 2 62 2" xfId="17433"/>
    <cellStyle name="Dane wyjściowe 2 62 3" xfId="17434"/>
    <cellStyle name="Dane wyjściowe 2 62 4" xfId="17435"/>
    <cellStyle name="Dane wyjściowe 2 63" xfId="17436"/>
    <cellStyle name="Dane wyjściowe 2 63 2" xfId="17437"/>
    <cellStyle name="Dane wyjściowe 2 63 3" xfId="17438"/>
    <cellStyle name="Dane wyjściowe 2 63 4" xfId="17439"/>
    <cellStyle name="Dane wyjściowe 2 64" xfId="17440"/>
    <cellStyle name="Dane wyjściowe 2 64 2" xfId="17441"/>
    <cellStyle name="Dane wyjściowe 2 64 3" xfId="17442"/>
    <cellStyle name="Dane wyjściowe 2 64 4" xfId="17443"/>
    <cellStyle name="Dane wyjściowe 2 65" xfId="17444"/>
    <cellStyle name="Dane wyjściowe 2 65 2" xfId="17445"/>
    <cellStyle name="Dane wyjściowe 2 65 3" xfId="17446"/>
    <cellStyle name="Dane wyjściowe 2 65 4" xfId="17447"/>
    <cellStyle name="Dane wyjściowe 2 66" xfId="17448"/>
    <cellStyle name="Dane wyjściowe 2 66 2" xfId="17449"/>
    <cellStyle name="Dane wyjściowe 2 66 3" xfId="17450"/>
    <cellStyle name="Dane wyjściowe 2 66 4" xfId="17451"/>
    <cellStyle name="Dane wyjściowe 2 67" xfId="17452"/>
    <cellStyle name="Dane wyjściowe 2 67 2" xfId="17453"/>
    <cellStyle name="Dane wyjściowe 2 67 3" xfId="17454"/>
    <cellStyle name="Dane wyjściowe 2 68" xfId="17455"/>
    <cellStyle name="Dane wyjściowe 2 68 2" xfId="17456"/>
    <cellStyle name="Dane wyjściowe 2 68 3" xfId="17457"/>
    <cellStyle name="Dane wyjściowe 2 69" xfId="17458"/>
    <cellStyle name="Dane wyjściowe 2 69 2" xfId="17459"/>
    <cellStyle name="Dane wyjściowe 2 69 3" xfId="17460"/>
    <cellStyle name="Dane wyjściowe 2 7" xfId="17461"/>
    <cellStyle name="Dane wyjściowe 2 7 10" xfId="17462"/>
    <cellStyle name="Dane wyjściowe 2 7 10 2" xfId="17463"/>
    <cellStyle name="Dane wyjściowe 2 7 10 3" xfId="17464"/>
    <cellStyle name="Dane wyjściowe 2 7 10 4" xfId="17465"/>
    <cellStyle name="Dane wyjściowe 2 7 11" xfId="17466"/>
    <cellStyle name="Dane wyjściowe 2 7 11 2" xfId="17467"/>
    <cellStyle name="Dane wyjściowe 2 7 11 3" xfId="17468"/>
    <cellStyle name="Dane wyjściowe 2 7 11 4" xfId="17469"/>
    <cellStyle name="Dane wyjściowe 2 7 12" xfId="17470"/>
    <cellStyle name="Dane wyjściowe 2 7 12 2" xfId="17471"/>
    <cellStyle name="Dane wyjściowe 2 7 12 3" xfId="17472"/>
    <cellStyle name="Dane wyjściowe 2 7 12 4" xfId="17473"/>
    <cellStyle name="Dane wyjściowe 2 7 13" xfId="17474"/>
    <cellStyle name="Dane wyjściowe 2 7 13 2" xfId="17475"/>
    <cellStyle name="Dane wyjściowe 2 7 13 3" xfId="17476"/>
    <cellStyle name="Dane wyjściowe 2 7 13 4" xfId="17477"/>
    <cellStyle name="Dane wyjściowe 2 7 14" xfId="17478"/>
    <cellStyle name="Dane wyjściowe 2 7 14 2" xfId="17479"/>
    <cellStyle name="Dane wyjściowe 2 7 14 3" xfId="17480"/>
    <cellStyle name="Dane wyjściowe 2 7 14 4" xfId="17481"/>
    <cellStyle name="Dane wyjściowe 2 7 15" xfId="17482"/>
    <cellStyle name="Dane wyjściowe 2 7 15 2" xfId="17483"/>
    <cellStyle name="Dane wyjściowe 2 7 15 3" xfId="17484"/>
    <cellStyle name="Dane wyjściowe 2 7 15 4" xfId="17485"/>
    <cellStyle name="Dane wyjściowe 2 7 16" xfId="17486"/>
    <cellStyle name="Dane wyjściowe 2 7 16 2" xfId="17487"/>
    <cellStyle name="Dane wyjściowe 2 7 16 3" xfId="17488"/>
    <cellStyle name="Dane wyjściowe 2 7 16 4" xfId="17489"/>
    <cellStyle name="Dane wyjściowe 2 7 17" xfId="17490"/>
    <cellStyle name="Dane wyjściowe 2 7 17 2" xfId="17491"/>
    <cellStyle name="Dane wyjściowe 2 7 17 3" xfId="17492"/>
    <cellStyle name="Dane wyjściowe 2 7 17 4" xfId="17493"/>
    <cellStyle name="Dane wyjściowe 2 7 18" xfId="17494"/>
    <cellStyle name="Dane wyjściowe 2 7 18 2" xfId="17495"/>
    <cellStyle name="Dane wyjściowe 2 7 18 3" xfId="17496"/>
    <cellStyle name="Dane wyjściowe 2 7 18 4" xfId="17497"/>
    <cellStyle name="Dane wyjściowe 2 7 19" xfId="17498"/>
    <cellStyle name="Dane wyjściowe 2 7 19 2" xfId="17499"/>
    <cellStyle name="Dane wyjściowe 2 7 19 3" xfId="17500"/>
    <cellStyle name="Dane wyjściowe 2 7 19 4" xfId="17501"/>
    <cellStyle name="Dane wyjściowe 2 7 2" xfId="17502"/>
    <cellStyle name="Dane wyjściowe 2 7 2 2" xfId="17503"/>
    <cellStyle name="Dane wyjściowe 2 7 2 3" xfId="17504"/>
    <cellStyle name="Dane wyjściowe 2 7 2 4" xfId="17505"/>
    <cellStyle name="Dane wyjściowe 2 7 20" xfId="17506"/>
    <cellStyle name="Dane wyjściowe 2 7 20 2" xfId="17507"/>
    <cellStyle name="Dane wyjściowe 2 7 20 3" xfId="17508"/>
    <cellStyle name="Dane wyjściowe 2 7 20 4" xfId="17509"/>
    <cellStyle name="Dane wyjściowe 2 7 21" xfId="17510"/>
    <cellStyle name="Dane wyjściowe 2 7 21 2" xfId="17511"/>
    <cellStyle name="Dane wyjściowe 2 7 21 3" xfId="17512"/>
    <cellStyle name="Dane wyjściowe 2 7 22" xfId="17513"/>
    <cellStyle name="Dane wyjściowe 2 7 22 2" xfId="17514"/>
    <cellStyle name="Dane wyjściowe 2 7 22 3" xfId="17515"/>
    <cellStyle name="Dane wyjściowe 2 7 23" xfId="17516"/>
    <cellStyle name="Dane wyjściowe 2 7 23 2" xfId="17517"/>
    <cellStyle name="Dane wyjściowe 2 7 23 3" xfId="17518"/>
    <cellStyle name="Dane wyjściowe 2 7 24" xfId="17519"/>
    <cellStyle name="Dane wyjściowe 2 7 24 2" xfId="17520"/>
    <cellStyle name="Dane wyjściowe 2 7 24 3" xfId="17521"/>
    <cellStyle name="Dane wyjściowe 2 7 25" xfId="17522"/>
    <cellStyle name="Dane wyjściowe 2 7 25 2" xfId="17523"/>
    <cellStyle name="Dane wyjściowe 2 7 25 3" xfId="17524"/>
    <cellStyle name="Dane wyjściowe 2 7 26" xfId="17525"/>
    <cellStyle name="Dane wyjściowe 2 7 26 2" xfId="17526"/>
    <cellStyle name="Dane wyjściowe 2 7 26 3" xfId="17527"/>
    <cellStyle name="Dane wyjściowe 2 7 27" xfId="17528"/>
    <cellStyle name="Dane wyjściowe 2 7 27 2" xfId="17529"/>
    <cellStyle name="Dane wyjściowe 2 7 27 3" xfId="17530"/>
    <cellStyle name="Dane wyjściowe 2 7 28" xfId="17531"/>
    <cellStyle name="Dane wyjściowe 2 7 28 2" xfId="17532"/>
    <cellStyle name="Dane wyjściowe 2 7 28 3" xfId="17533"/>
    <cellStyle name="Dane wyjściowe 2 7 29" xfId="17534"/>
    <cellStyle name="Dane wyjściowe 2 7 29 2" xfId="17535"/>
    <cellStyle name="Dane wyjściowe 2 7 29 3" xfId="17536"/>
    <cellStyle name="Dane wyjściowe 2 7 3" xfId="17537"/>
    <cellStyle name="Dane wyjściowe 2 7 3 2" xfId="17538"/>
    <cellStyle name="Dane wyjściowe 2 7 3 3" xfId="17539"/>
    <cellStyle name="Dane wyjściowe 2 7 3 4" xfId="17540"/>
    <cellStyle name="Dane wyjściowe 2 7 30" xfId="17541"/>
    <cellStyle name="Dane wyjściowe 2 7 30 2" xfId="17542"/>
    <cellStyle name="Dane wyjściowe 2 7 30 3" xfId="17543"/>
    <cellStyle name="Dane wyjściowe 2 7 31" xfId="17544"/>
    <cellStyle name="Dane wyjściowe 2 7 31 2" xfId="17545"/>
    <cellStyle name="Dane wyjściowe 2 7 31 3" xfId="17546"/>
    <cellStyle name="Dane wyjściowe 2 7 32" xfId="17547"/>
    <cellStyle name="Dane wyjściowe 2 7 32 2" xfId="17548"/>
    <cellStyle name="Dane wyjściowe 2 7 32 3" xfId="17549"/>
    <cellStyle name="Dane wyjściowe 2 7 33" xfId="17550"/>
    <cellStyle name="Dane wyjściowe 2 7 33 2" xfId="17551"/>
    <cellStyle name="Dane wyjściowe 2 7 33 3" xfId="17552"/>
    <cellStyle name="Dane wyjściowe 2 7 34" xfId="17553"/>
    <cellStyle name="Dane wyjściowe 2 7 34 2" xfId="17554"/>
    <cellStyle name="Dane wyjściowe 2 7 34 3" xfId="17555"/>
    <cellStyle name="Dane wyjściowe 2 7 35" xfId="17556"/>
    <cellStyle name="Dane wyjściowe 2 7 35 2" xfId="17557"/>
    <cellStyle name="Dane wyjściowe 2 7 35 3" xfId="17558"/>
    <cellStyle name="Dane wyjściowe 2 7 36" xfId="17559"/>
    <cellStyle name="Dane wyjściowe 2 7 36 2" xfId="17560"/>
    <cellStyle name="Dane wyjściowe 2 7 36 3" xfId="17561"/>
    <cellStyle name="Dane wyjściowe 2 7 37" xfId="17562"/>
    <cellStyle name="Dane wyjściowe 2 7 37 2" xfId="17563"/>
    <cellStyle name="Dane wyjściowe 2 7 37 3" xfId="17564"/>
    <cellStyle name="Dane wyjściowe 2 7 38" xfId="17565"/>
    <cellStyle name="Dane wyjściowe 2 7 38 2" xfId="17566"/>
    <cellStyle name="Dane wyjściowe 2 7 38 3" xfId="17567"/>
    <cellStyle name="Dane wyjściowe 2 7 39" xfId="17568"/>
    <cellStyle name="Dane wyjściowe 2 7 39 2" xfId="17569"/>
    <cellStyle name="Dane wyjściowe 2 7 39 3" xfId="17570"/>
    <cellStyle name="Dane wyjściowe 2 7 4" xfId="17571"/>
    <cellStyle name="Dane wyjściowe 2 7 4 2" xfId="17572"/>
    <cellStyle name="Dane wyjściowe 2 7 4 3" xfId="17573"/>
    <cellStyle name="Dane wyjściowe 2 7 4 4" xfId="17574"/>
    <cellStyle name="Dane wyjściowe 2 7 40" xfId="17575"/>
    <cellStyle name="Dane wyjściowe 2 7 40 2" xfId="17576"/>
    <cellStyle name="Dane wyjściowe 2 7 40 3" xfId="17577"/>
    <cellStyle name="Dane wyjściowe 2 7 41" xfId="17578"/>
    <cellStyle name="Dane wyjściowe 2 7 41 2" xfId="17579"/>
    <cellStyle name="Dane wyjściowe 2 7 41 3" xfId="17580"/>
    <cellStyle name="Dane wyjściowe 2 7 42" xfId="17581"/>
    <cellStyle name="Dane wyjściowe 2 7 42 2" xfId="17582"/>
    <cellStyle name="Dane wyjściowe 2 7 42 3" xfId="17583"/>
    <cellStyle name="Dane wyjściowe 2 7 43" xfId="17584"/>
    <cellStyle name="Dane wyjściowe 2 7 43 2" xfId="17585"/>
    <cellStyle name="Dane wyjściowe 2 7 43 3" xfId="17586"/>
    <cellStyle name="Dane wyjściowe 2 7 44" xfId="17587"/>
    <cellStyle name="Dane wyjściowe 2 7 44 2" xfId="17588"/>
    <cellStyle name="Dane wyjściowe 2 7 44 3" xfId="17589"/>
    <cellStyle name="Dane wyjściowe 2 7 45" xfId="17590"/>
    <cellStyle name="Dane wyjściowe 2 7 45 2" xfId="17591"/>
    <cellStyle name="Dane wyjściowe 2 7 45 3" xfId="17592"/>
    <cellStyle name="Dane wyjściowe 2 7 46" xfId="17593"/>
    <cellStyle name="Dane wyjściowe 2 7 46 2" xfId="17594"/>
    <cellStyle name="Dane wyjściowe 2 7 46 3" xfId="17595"/>
    <cellStyle name="Dane wyjściowe 2 7 47" xfId="17596"/>
    <cellStyle name="Dane wyjściowe 2 7 47 2" xfId="17597"/>
    <cellStyle name="Dane wyjściowe 2 7 47 3" xfId="17598"/>
    <cellStyle name="Dane wyjściowe 2 7 48" xfId="17599"/>
    <cellStyle name="Dane wyjściowe 2 7 48 2" xfId="17600"/>
    <cellStyle name="Dane wyjściowe 2 7 48 3" xfId="17601"/>
    <cellStyle name="Dane wyjściowe 2 7 49" xfId="17602"/>
    <cellStyle name="Dane wyjściowe 2 7 49 2" xfId="17603"/>
    <cellStyle name="Dane wyjściowe 2 7 49 3" xfId="17604"/>
    <cellStyle name="Dane wyjściowe 2 7 5" xfId="17605"/>
    <cellStyle name="Dane wyjściowe 2 7 5 2" xfId="17606"/>
    <cellStyle name="Dane wyjściowe 2 7 5 3" xfId="17607"/>
    <cellStyle name="Dane wyjściowe 2 7 5 4" xfId="17608"/>
    <cellStyle name="Dane wyjściowe 2 7 50" xfId="17609"/>
    <cellStyle name="Dane wyjściowe 2 7 50 2" xfId="17610"/>
    <cellStyle name="Dane wyjściowe 2 7 50 3" xfId="17611"/>
    <cellStyle name="Dane wyjściowe 2 7 51" xfId="17612"/>
    <cellStyle name="Dane wyjściowe 2 7 51 2" xfId="17613"/>
    <cellStyle name="Dane wyjściowe 2 7 51 3" xfId="17614"/>
    <cellStyle name="Dane wyjściowe 2 7 52" xfId="17615"/>
    <cellStyle name="Dane wyjściowe 2 7 52 2" xfId="17616"/>
    <cellStyle name="Dane wyjściowe 2 7 52 3" xfId="17617"/>
    <cellStyle name="Dane wyjściowe 2 7 53" xfId="17618"/>
    <cellStyle name="Dane wyjściowe 2 7 53 2" xfId="17619"/>
    <cellStyle name="Dane wyjściowe 2 7 53 3" xfId="17620"/>
    <cellStyle name="Dane wyjściowe 2 7 54" xfId="17621"/>
    <cellStyle name="Dane wyjściowe 2 7 54 2" xfId="17622"/>
    <cellStyle name="Dane wyjściowe 2 7 54 3" xfId="17623"/>
    <cellStyle name="Dane wyjściowe 2 7 55" xfId="17624"/>
    <cellStyle name="Dane wyjściowe 2 7 55 2" xfId="17625"/>
    <cellStyle name="Dane wyjściowe 2 7 55 3" xfId="17626"/>
    <cellStyle name="Dane wyjściowe 2 7 56" xfId="17627"/>
    <cellStyle name="Dane wyjściowe 2 7 56 2" xfId="17628"/>
    <cellStyle name="Dane wyjściowe 2 7 56 3" xfId="17629"/>
    <cellStyle name="Dane wyjściowe 2 7 57" xfId="17630"/>
    <cellStyle name="Dane wyjściowe 2 7 58" xfId="17631"/>
    <cellStyle name="Dane wyjściowe 2 7 6" xfId="17632"/>
    <cellStyle name="Dane wyjściowe 2 7 6 2" xfId="17633"/>
    <cellStyle name="Dane wyjściowe 2 7 6 3" xfId="17634"/>
    <cellStyle name="Dane wyjściowe 2 7 6 4" xfId="17635"/>
    <cellStyle name="Dane wyjściowe 2 7 7" xfId="17636"/>
    <cellStyle name="Dane wyjściowe 2 7 7 2" xfId="17637"/>
    <cellStyle name="Dane wyjściowe 2 7 7 3" xfId="17638"/>
    <cellStyle name="Dane wyjściowe 2 7 7 4" xfId="17639"/>
    <cellStyle name="Dane wyjściowe 2 7 8" xfId="17640"/>
    <cellStyle name="Dane wyjściowe 2 7 8 2" xfId="17641"/>
    <cellStyle name="Dane wyjściowe 2 7 8 3" xfId="17642"/>
    <cellStyle name="Dane wyjściowe 2 7 8 4" xfId="17643"/>
    <cellStyle name="Dane wyjściowe 2 7 9" xfId="17644"/>
    <cellStyle name="Dane wyjściowe 2 7 9 2" xfId="17645"/>
    <cellStyle name="Dane wyjściowe 2 7 9 3" xfId="17646"/>
    <cellStyle name="Dane wyjściowe 2 7 9 4" xfId="17647"/>
    <cellStyle name="Dane wyjściowe 2 70" xfId="17648"/>
    <cellStyle name="Dane wyjściowe 2 70 2" xfId="17649"/>
    <cellStyle name="Dane wyjściowe 2 70 3" xfId="17650"/>
    <cellStyle name="Dane wyjściowe 2 71" xfId="17651"/>
    <cellStyle name="Dane wyjściowe 2 71 2" xfId="17652"/>
    <cellStyle name="Dane wyjściowe 2 71 3" xfId="17653"/>
    <cellStyle name="Dane wyjściowe 2 72" xfId="17654"/>
    <cellStyle name="Dane wyjściowe 2 72 2" xfId="17655"/>
    <cellStyle name="Dane wyjściowe 2 72 3" xfId="17656"/>
    <cellStyle name="Dane wyjściowe 2 73" xfId="17657"/>
    <cellStyle name="Dane wyjściowe 2 73 2" xfId="17658"/>
    <cellStyle name="Dane wyjściowe 2 73 3" xfId="17659"/>
    <cellStyle name="Dane wyjściowe 2 74" xfId="17660"/>
    <cellStyle name="Dane wyjściowe 2 74 2" xfId="17661"/>
    <cellStyle name="Dane wyjściowe 2 74 3" xfId="17662"/>
    <cellStyle name="Dane wyjściowe 2 75" xfId="17663"/>
    <cellStyle name="Dane wyjściowe 2 75 2" xfId="17664"/>
    <cellStyle name="Dane wyjściowe 2 75 3" xfId="17665"/>
    <cellStyle name="Dane wyjściowe 2 76" xfId="17666"/>
    <cellStyle name="Dane wyjściowe 2 76 2" xfId="17667"/>
    <cellStyle name="Dane wyjściowe 2 76 3" xfId="17668"/>
    <cellStyle name="Dane wyjściowe 2 77" xfId="17669"/>
    <cellStyle name="Dane wyjściowe 2 77 2" xfId="17670"/>
    <cellStyle name="Dane wyjściowe 2 77 3" xfId="17671"/>
    <cellStyle name="Dane wyjściowe 2 78" xfId="17672"/>
    <cellStyle name="Dane wyjściowe 2 78 2" xfId="17673"/>
    <cellStyle name="Dane wyjściowe 2 78 3" xfId="17674"/>
    <cellStyle name="Dane wyjściowe 2 79" xfId="17675"/>
    <cellStyle name="Dane wyjściowe 2 79 2" xfId="17676"/>
    <cellStyle name="Dane wyjściowe 2 79 3" xfId="17677"/>
    <cellStyle name="Dane wyjściowe 2 8" xfId="17678"/>
    <cellStyle name="Dane wyjściowe 2 8 10" xfId="17679"/>
    <cellStyle name="Dane wyjściowe 2 8 10 2" xfId="17680"/>
    <cellStyle name="Dane wyjściowe 2 8 10 3" xfId="17681"/>
    <cellStyle name="Dane wyjściowe 2 8 10 4" xfId="17682"/>
    <cellStyle name="Dane wyjściowe 2 8 11" xfId="17683"/>
    <cellStyle name="Dane wyjściowe 2 8 11 2" xfId="17684"/>
    <cellStyle name="Dane wyjściowe 2 8 11 3" xfId="17685"/>
    <cellStyle name="Dane wyjściowe 2 8 11 4" xfId="17686"/>
    <cellStyle name="Dane wyjściowe 2 8 12" xfId="17687"/>
    <cellStyle name="Dane wyjściowe 2 8 12 2" xfId="17688"/>
    <cellStyle name="Dane wyjściowe 2 8 12 3" xfId="17689"/>
    <cellStyle name="Dane wyjściowe 2 8 12 4" xfId="17690"/>
    <cellStyle name="Dane wyjściowe 2 8 13" xfId="17691"/>
    <cellStyle name="Dane wyjściowe 2 8 13 2" xfId="17692"/>
    <cellStyle name="Dane wyjściowe 2 8 13 3" xfId="17693"/>
    <cellStyle name="Dane wyjściowe 2 8 13 4" xfId="17694"/>
    <cellStyle name="Dane wyjściowe 2 8 14" xfId="17695"/>
    <cellStyle name="Dane wyjściowe 2 8 14 2" xfId="17696"/>
    <cellStyle name="Dane wyjściowe 2 8 14 3" xfId="17697"/>
    <cellStyle name="Dane wyjściowe 2 8 14 4" xfId="17698"/>
    <cellStyle name="Dane wyjściowe 2 8 15" xfId="17699"/>
    <cellStyle name="Dane wyjściowe 2 8 15 2" xfId="17700"/>
    <cellStyle name="Dane wyjściowe 2 8 15 3" xfId="17701"/>
    <cellStyle name="Dane wyjściowe 2 8 15 4" xfId="17702"/>
    <cellStyle name="Dane wyjściowe 2 8 16" xfId="17703"/>
    <cellStyle name="Dane wyjściowe 2 8 16 2" xfId="17704"/>
    <cellStyle name="Dane wyjściowe 2 8 16 3" xfId="17705"/>
    <cellStyle name="Dane wyjściowe 2 8 16 4" xfId="17706"/>
    <cellStyle name="Dane wyjściowe 2 8 17" xfId="17707"/>
    <cellStyle name="Dane wyjściowe 2 8 17 2" xfId="17708"/>
    <cellStyle name="Dane wyjściowe 2 8 17 3" xfId="17709"/>
    <cellStyle name="Dane wyjściowe 2 8 17 4" xfId="17710"/>
    <cellStyle name="Dane wyjściowe 2 8 18" xfId="17711"/>
    <cellStyle name="Dane wyjściowe 2 8 18 2" xfId="17712"/>
    <cellStyle name="Dane wyjściowe 2 8 18 3" xfId="17713"/>
    <cellStyle name="Dane wyjściowe 2 8 18 4" xfId="17714"/>
    <cellStyle name="Dane wyjściowe 2 8 19" xfId="17715"/>
    <cellStyle name="Dane wyjściowe 2 8 19 2" xfId="17716"/>
    <cellStyle name="Dane wyjściowe 2 8 19 3" xfId="17717"/>
    <cellStyle name="Dane wyjściowe 2 8 19 4" xfId="17718"/>
    <cellStyle name="Dane wyjściowe 2 8 2" xfId="17719"/>
    <cellStyle name="Dane wyjściowe 2 8 2 2" xfId="17720"/>
    <cellStyle name="Dane wyjściowe 2 8 2 3" xfId="17721"/>
    <cellStyle name="Dane wyjściowe 2 8 2 4" xfId="17722"/>
    <cellStyle name="Dane wyjściowe 2 8 20" xfId="17723"/>
    <cellStyle name="Dane wyjściowe 2 8 20 2" xfId="17724"/>
    <cellStyle name="Dane wyjściowe 2 8 20 3" xfId="17725"/>
    <cellStyle name="Dane wyjściowe 2 8 20 4" xfId="17726"/>
    <cellStyle name="Dane wyjściowe 2 8 21" xfId="17727"/>
    <cellStyle name="Dane wyjściowe 2 8 21 2" xfId="17728"/>
    <cellStyle name="Dane wyjściowe 2 8 21 3" xfId="17729"/>
    <cellStyle name="Dane wyjściowe 2 8 22" xfId="17730"/>
    <cellStyle name="Dane wyjściowe 2 8 22 2" xfId="17731"/>
    <cellStyle name="Dane wyjściowe 2 8 22 3" xfId="17732"/>
    <cellStyle name="Dane wyjściowe 2 8 23" xfId="17733"/>
    <cellStyle name="Dane wyjściowe 2 8 23 2" xfId="17734"/>
    <cellStyle name="Dane wyjściowe 2 8 23 3" xfId="17735"/>
    <cellStyle name="Dane wyjściowe 2 8 24" xfId="17736"/>
    <cellStyle name="Dane wyjściowe 2 8 24 2" xfId="17737"/>
    <cellStyle name="Dane wyjściowe 2 8 24 3" xfId="17738"/>
    <cellStyle name="Dane wyjściowe 2 8 25" xfId="17739"/>
    <cellStyle name="Dane wyjściowe 2 8 25 2" xfId="17740"/>
    <cellStyle name="Dane wyjściowe 2 8 25 3" xfId="17741"/>
    <cellStyle name="Dane wyjściowe 2 8 26" xfId="17742"/>
    <cellStyle name="Dane wyjściowe 2 8 26 2" xfId="17743"/>
    <cellStyle name="Dane wyjściowe 2 8 26 3" xfId="17744"/>
    <cellStyle name="Dane wyjściowe 2 8 27" xfId="17745"/>
    <cellStyle name="Dane wyjściowe 2 8 27 2" xfId="17746"/>
    <cellStyle name="Dane wyjściowe 2 8 27 3" xfId="17747"/>
    <cellStyle name="Dane wyjściowe 2 8 28" xfId="17748"/>
    <cellStyle name="Dane wyjściowe 2 8 28 2" xfId="17749"/>
    <cellStyle name="Dane wyjściowe 2 8 28 3" xfId="17750"/>
    <cellStyle name="Dane wyjściowe 2 8 29" xfId="17751"/>
    <cellStyle name="Dane wyjściowe 2 8 29 2" xfId="17752"/>
    <cellStyle name="Dane wyjściowe 2 8 29 3" xfId="17753"/>
    <cellStyle name="Dane wyjściowe 2 8 3" xfId="17754"/>
    <cellStyle name="Dane wyjściowe 2 8 3 2" xfId="17755"/>
    <cellStyle name="Dane wyjściowe 2 8 3 3" xfId="17756"/>
    <cellStyle name="Dane wyjściowe 2 8 3 4" xfId="17757"/>
    <cellStyle name="Dane wyjściowe 2 8 30" xfId="17758"/>
    <cellStyle name="Dane wyjściowe 2 8 30 2" xfId="17759"/>
    <cellStyle name="Dane wyjściowe 2 8 30 3" xfId="17760"/>
    <cellStyle name="Dane wyjściowe 2 8 31" xfId="17761"/>
    <cellStyle name="Dane wyjściowe 2 8 31 2" xfId="17762"/>
    <cellStyle name="Dane wyjściowe 2 8 31 3" xfId="17763"/>
    <cellStyle name="Dane wyjściowe 2 8 32" xfId="17764"/>
    <cellStyle name="Dane wyjściowe 2 8 32 2" xfId="17765"/>
    <cellStyle name="Dane wyjściowe 2 8 32 3" xfId="17766"/>
    <cellStyle name="Dane wyjściowe 2 8 33" xfId="17767"/>
    <cellStyle name="Dane wyjściowe 2 8 33 2" xfId="17768"/>
    <cellStyle name="Dane wyjściowe 2 8 33 3" xfId="17769"/>
    <cellStyle name="Dane wyjściowe 2 8 34" xfId="17770"/>
    <cellStyle name="Dane wyjściowe 2 8 34 2" xfId="17771"/>
    <cellStyle name="Dane wyjściowe 2 8 34 3" xfId="17772"/>
    <cellStyle name="Dane wyjściowe 2 8 35" xfId="17773"/>
    <cellStyle name="Dane wyjściowe 2 8 35 2" xfId="17774"/>
    <cellStyle name="Dane wyjściowe 2 8 35 3" xfId="17775"/>
    <cellStyle name="Dane wyjściowe 2 8 36" xfId="17776"/>
    <cellStyle name="Dane wyjściowe 2 8 36 2" xfId="17777"/>
    <cellStyle name="Dane wyjściowe 2 8 36 3" xfId="17778"/>
    <cellStyle name="Dane wyjściowe 2 8 37" xfId="17779"/>
    <cellStyle name="Dane wyjściowe 2 8 37 2" xfId="17780"/>
    <cellStyle name="Dane wyjściowe 2 8 37 3" xfId="17781"/>
    <cellStyle name="Dane wyjściowe 2 8 38" xfId="17782"/>
    <cellStyle name="Dane wyjściowe 2 8 38 2" xfId="17783"/>
    <cellStyle name="Dane wyjściowe 2 8 38 3" xfId="17784"/>
    <cellStyle name="Dane wyjściowe 2 8 39" xfId="17785"/>
    <cellStyle name="Dane wyjściowe 2 8 39 2" xfId="17786"/>
    <cellStyle name="Dane wyjściowe 2 8 39 3" xfId="17787"/>
    <cellStyle name="Dane wyjściowe 2 8 4" xfId="17788"/>
    <cellStyle name="Dane wyjściowe 2 8 4 2" xfId="17789"/>
    <cellStyle name="Dane wyjściowe 2 8 4 3" xfId="17790"/>
    <cellStyle name="Dane wyjściowe 2 8 4 4" xfId="17791"/>
    <cellStyle name="Dane wyjściowe 2 8 40" xfId="17792"/>
    <cellStyle name="Dane wyjściowe 2 8 40 2" xfId="17793"/>
    <cellStyle name="Dane wyjściowe 2 8 40 3" xfId="17794"/>
    <cellStyle name="Dane wyjściowe 2 8 41" xfId="17795"/>
    <cellStyle name="Dane wyjściowe 2 8 41 2" xfId="17796"/>
    <cellStyle name="Dane wyjściowe 2 8 41 3" xfId="17797"/>
    <cellStyle name="Dane wyjściowe 2 8 42" xfId="17798"/>
    <cellStyle name="Dane wyjściowe 2 8 42 2" xfId="17799"/>
    <cellStyle name="Dane wyjściowe 2 8 42 3" xfId="17800"/>
    <cellStyle name="Dane wyjściowe 2 8 43" xfId="17801"/>
    <cellStyle name="Dane wyjściowe 2 8 43 2" xfId="17802"/>
    <cellStyle name="Dane wyjściowe 2 8 43 3" xfId="17803"/>
    <cellStyle name="Dane wyjściowe 2 8 44" xfId="17804"/>
    <cellStyle name="Dane wyjściowe 2 8 44 2" xfId="17805"/>
    <cellStyle name="Dane wyjściowe 2 8 44 3" xfId="17806"/>
    <cellStyle name="Dane wyjściowe 2 8 45" xfId="17807"/>
    <cellStyle name="Dane wyjściowe 2 8 45 2" xfId="17808"/>
    <cellStyle name="Dane wyjściowe 2 8 45 3" xfId="17809"/>
    <cellStyle name="Dane wyjściowe 2 8 46" xfId="17810"/>
    <cellStyle name="Dane wyjściowe 2 8 46 2" xfId="17811"/>
    <cellStyle name="Dane wyjściowe 2 8 46 3" xfId="17812"/>
    <cellStyle name="Dane wyjściowe 2 8 47" xfId="17813"/>
    <cellStyle name="Dane wyjściowe 2 8 47 2" xfId="17814"/>
    <cellStyle name="Dane wyjściowe 2 8 47 3" xfId="17815"/>
    <cellStyle name="Dane wyjściowe 2 8 48" xfId="17816"/>
    <cellStyle name="Dane wyjściowe 2 8 48 2" xfId="17817"/>
    <cellStyle name="Dane wyjściowe 2 8 48 3" xfId="17818"/>
    <cellStyle name="Dane wyjściowe 2 8 49" xfId="17819"/>
    <cellStyle name="Dane wyjściowe 2 8 49 2" xfId="17820"/>
    <cellStyle name="Dane wyjściowe 2 8 49 3" xfId="17821"/>
    <cellStyle name="Dane wyjściowe 2 8 5" xfId="17822"/>
    <cellStyle name="Dane wyjściowe 2 8 5 2" xfId="17823"/>
    <cellStyle name="Dane wyjściowe 2 8 5 3" xfId="17824"/>
    <cellStyle name="Dane wyjściowe 2 8 5 4" xfId="17825"/>
    <cellStyle name="Dane wyjściowe 2 8 50" xfId="17826"/>
    <cellStyle name="Dane wyjściowe 2 8 50 2" xfId="17827"/>
    <cellStyle name="Dane wyjściowe 2 8 50 3" xfId="17828"/>
    <cellStyle name="Dane wyjściowe 2 8 51" xfId="17829"/>
    <cellStyle name="Dane wyjściowe 2 8 51 2" xfId="17830"/>
    <cellStyle name="Dane wyjściowe 2 8 51 3" xfId="17831"/>
    <cellStyle name="Dane wyjściowe 2 8 52" xfId="17832"/>
    <cellStyle name="Dane wyjściowe 2 8 52 2" xfId="17833"/>
    <cellStyle name="Dane wyjściowe 2 8 52 3" xfId="17834"/>
    <cellStyle name="Dane wyjściowe 2 8 53" xfId="17835"/>
    <cellStyle name="Dane wyjściowe 2 8 53 2" xfId="17836"/>
    <cellStyle name="Dane wyjściowe 2 8 53 3" xfId="17837"/>
    <cellStyle name="Dane wyjściowe 2 8 54" xfId="17838"/>
    <cellStyle name="Dane wyjściowe 2 8 54 2" xfId="17839"/>
    <cellStyle name="Dane wyjściowe 2 8 54 3" xfId="17840"/>
    <cellStyle name="Dane wyjściowe 2 8 55" xfId="17841"/>
    <cellStyle name="Dane wyjściowe 2 8 55 2" xfId="17842"/>
    <cellStyle name="Dane wyjściowe 2 8 55 3" xfId="17843"/>
    <cellStyle name="Dane wyjściowe 2 8 56" xfId="17844"/>
    <cellStyle name="Dane wyjściowe 2 8 56 2" xfId="17845"/>
    <cellStyle name="Dane wyjściowe 2 8 56 3" xfId="17846"/>
    <cellStyle name="Dane wyjściowe 2 8 57" xfId="17847"/>
    <cellStyle name="Dane wyjściowe 2 8 58" xfId="17848"/>
    <cellStyle name="Dane wyjściowe 2 8 6" xfId="17849"/>
    <cellStyle name="Dane wyjściowe 2 8 6 2" xfId="17850"/>
    <cellStyle name="Dane wyjściowe 2 8 6 3" xfId="17851"/>
    <cellStyle name="Dane wyjściowe 2 8 6 4" xfId="17852"/>
    <cellStyle name="Dane wyjściowe 2 8 7" xfId="17853"/>
    <cellStyle name="Dane wyjściowe 2 8 7 2" xfId="17854"/>
    <cellStyle name="Dane wyjściowe 2 8 7 3" xfId="17855"/>
    <cellStyle name="Dane wyjściowe 2 8 7 4" xfId="17856"/>
    <cellStyle name="Dane wyjściowe 2 8 8" xfId="17857"/>
    <cellStyle name="Dane wyjściowe 2 8 8 2" xfId="17858"/>
    <cellStyle name="Dane wyjściowe 2 8 8 3" xfId="17859"/>
    <cellStyle name="Dane wyjściowe 2 8 8 4" xfId="17860"/>
    <cellStyle name="Dane wyjściowe 2 8 9" xfId="17861"/>
    <cellStyle name="Dane wyjściowe 2 8 9 2" xfId="17862"/>
    <cellStyle name="Dane wyjściowe 2 8 9 3" xfId="17863"/>
    <cellStyle name="Dane wyjściowe 2 8 9 4" xfId="17864"/>
    <cellStyle name="Dane wyjściowe 2 80" xfId="17865"/>
    <cellStyle name="Dane wyjściowe 2 80 2" xfId="17866"/>
    <cellStyle name="Dane wyjściowe 2 80 3" xfId="17867"/>
    <cellStyle name="Dane wyjściowe 2 81" xfId="17868"/>
    <cellStyle name="Dane wyjściowe 2 81 2" xfId="17869"/>
    <cellStyle name="Dane wyjściowe 2 81 3" xfId="17870"/>
    <cellStyle name="Dane wyjściowe 2 82" xfId="17871"/>
    <cellStyle name="Dane wyjściowe 2 82 2" xfId="17872"/>
    <cellStyle name="Dane wyjściowe 2 82 3" xfId="17873"/>
    <cellStyle name="Dane wyjściowe 2 83" xfId="17874"/>
    <cellStyle name="Dane wyjściowe 2 83 2" xfId="17875"/>
    <cellStyle name="Dane wyjściowe 2 83 3" xfId="17876"/>
    <cellStyle name="Dane wyjściowe 2 84" xfId="17877"/>
    <cellStyle name="Dane wyjściowe 2 84 2" xfId="17878"/>
    <cellStyle name="Dane wyjściowe 2 84 3" xfId="17879"/>
    <cellStyle name="Dane wyjściowe 2 85" xfId="17880"/>
    <cellStyle name="Dane wyjściowe 2 85 2" xfId="17881"/>
    <cellStyle name="Dane wyjściowe 2 85 3" xfId="17882"/>
    <cellStyle name="Dane wyjściowe 2 86" xfId="17883"/>
    <cellStyle name="Dane wyjściowe 2 86 2" xfId="17884"/>
    <cellStyle name="Dane wyjściowe 2 86 3" xfId="17885"/>
    <cellStyle name="Dane wyjściowe 2 87" xfId="17886"/>
    <cellStyle name="Dane wyjściowe 2 87 2" xfId="17887"/>
    <cellStyle name="Dane wyjściowe 2 87 3" xfId="17888"/>
    <cellStyle name="Dane wyjściowe 2 88" xfId="17889"/>
    <cellStyle name="Dane wyjściowe 2 89" xfId="17890"/>
    <cellStyle name="Dane wyjściowe 2 9" xfId="17891"/>
    <cellStyle name="Dane wyjściowe 2 9 10" xfId="17892"/>
    <cellStyle name="Dane wyjściowe 2 9 10 2" xfId="17893"/>
    <cellStyle name="Dane wyjściowe 2 9 10 3" xfId="17894"/>
    <cellStyle name="Dane wyjściowe 2 9 10 4" xfId="17895"/>
    <cellStyle name="Dane wyjściowe 2 9 11" xfId="17896"/>
    <cellStyle name="Dane wyjściowe 2 9 11 2" xfId="17897"/>
    <cellStyle name="Dane wyjściowe 2 9 11 3" xfId="17898"/>
    <cellStyle name="Dane wyjściowe 2 9 11 4" xfId="17899"/>
    <cellStyle name="Dane wyjściowe 2 9 12" xfId="17900"/>
    <cellStyle name="Dane wyjściowe 2 9 12 2" xfId="17901"/>
    <cellStyle name="Dane wyjściowe 2 9 12 3" xfId="17902"/>
    <cellStyle name="Dane wyjściowe 2 9 12 4" xfId="17903"/>
    <cellStyle name="Dane wyjściowe 2 9 13" xfId="17904"/>
    <cellStyle name="Dane wyjściowe 2 9 13 2" xfId="17905"/>
    <cellStyle name="Dane wyjściowe 2 9 13 3" xfId="17906"/>
    <cellStyle name="Dane wyjściowe 2 9 13 4" xfId="17907"/>
    <cellStyle name="Dane wyjściowe 2 9 14" xfId="17908"/>
    <cellStyle name="Dane wyjściowe 2 9 14 2" xfId="17909"/>
    <cellStyle name="Dane wyjściowe 2 9 14 3" xfId="17910"/>
    <cellStyle name="Dane wyjściowe 2 9 14 4" xfId="17911"/>
    <cellStyle name="Dane wyjściowe 2 9 15" xfId="17912"/>
    <cellStyle name="Dane wyjściowe 2 9 15 2" xfId="17913"/>
    <cellStyle name="Dane wyjściowe 2 9 15 3" xfId="17914"/>
    <cellStyle name="Dane wyjściowe 2 9 15 4" xfId="17915"/>
    <cellStyle name="Dane wyjściowe 2 9 16" xfId="17916"/>
    <cellStyle name="Dane wyjściowe 2 9 16 2" xfId="17917"/>
    <cellStyle name="Dane wyjściowe 2 9 16 3" xfId="17918"/>
    <cellStyle name="Dane wyjściowe 2 9 16 4" xfId="17919"/>
    <cellStyle name="Dane wyjściowe 2 9 17" xfId="17920"/>
    <cellStyle name="Dane wyjściowe 2 9 17 2" xfId="17921"/>
    <cellStyle name="Dane wyjściowe 2 9 17 3" xfId="17922"/>
    <cellStyle name="Dane wyjściowe 2 9 17 4" xfId="17923"/>
    <cellStyle name="Dane wyjściowe 2 9 18" xfId="17924"/>
    <cellStyle name="Dane wyjściowe 2 9 18 2" xfId="17925"/>
    <cellStyle name="Dane wyjściowe 2 9 18 3" xfId="17926"/>
    <cellStyle name="Dane wyjściowe 2 9 18 4" xfId="17927"/>
    <cellStyle name="Dane wyjściowe 2 9 19" xfId="17928"/>
    <cellStyle name="Dane wyjściowe 2 9 19 2" xfId="17929"/>
    <cellStyle name="Dane wyjściowe 2 9 19 3" xfId="17930"/>
    <cellStyle name="Dane wyjściowe 2 9 19 4" xfId="17931"/>
    <cellStyle name="Dane wyjściowe 2 9 2" xfId="17932"/>
    <cellStyle name="Dane wyjściowe 2 9 2 2" xfId="17933"/>
    <cellStyle name="Dane wyjściowe 2 9 2 3" xfId="17934"/>
    <cellStyle name="Dane wyjściowe 2 9 2 4" xfId="17935"/>
    <cellStyle name="Dane wyjściowe 2 9 20" xfId="17936"/>
    <cellStyle name="Dane wyjściowe 2 9 20 2" xfId="17937"/>
    <cellStyle name="Dane wyjściowe 2 9 20 3" xfId="17938"/>
    <cellStyle name="Dane wyjściowe 2 9 20 4" xfId="17939"/>
    <cellStyle name="Dane wyjściowe 2 9 21" xfId="17940"/>
    <cellStyle name="Dane wyjściowe 2 9 21 2" xfId="17941"/>
    <cellStyle name="Dane wyjściowe 2 9 21 3" xfId="17942"/>
    <cellStyle name="Dane wyjściowe 2 9 22" xfId="17943"/>
    <cellStyle name="Dane wyjściowe 2 9 22 2" xfId="17944"/>
    <cellStyle name="Dane wyjściowe 2 9 22 3" xfId="17945"/>
    <cellStyle name="Dane wyjściowe 2 9 23" xfId="17946"/>
    <cellStyle name="Dane wyjściowe 2 9 23 2" xfId="17947"/>
    <cellStyle name="Dane wyjściowe 2 9 23 3" xfId="17948"/>
    <cellStyle name="Dane wyjściowe 2 9 24" xfId="17949"/>
    <cellStyle name="Dane wyjściowe 2 9 24 2" xfId="17950"/>
    <cellStyle name="Dane wyjściowe 2 9 24 3" xfId="17951"/>
    <cellStyle name="Dane wyjściowe 2 9 25" xfId="17952"/>
    <cellStyle name="Dane wyjściowe 2 9 25 2" xfId="17953"/>
    <cellStyle name="Dane wyjściowe 2 9 25 3" xfId="17954"/>
    <cellStyle name="Dane wyjściowe 2 9 26" xfId="17955"/>
    <cellStyle name="Dane wyjściowe 2 9 26 2" xfId="17956"/>
    <cellStyle name="Dane wyjściowe 2 9 26 3" xfId="17957"/>
    <cellStyle name="Dane wyjściowe 2 9 27" xfId="17958"/>
    <cellStyle name="Dane wyjściowe 2 9 27 2" xfId="17959"/>
    <cellStyle name="Dane wyjściowe 2 9 27 3" xfId="17960"/>
    <cellStyle name="Dane wyjściowe 2 9 28" xfId="17961"/>
    <cellStyle name="Dane wyjściowe 2 9 28 2" xfId="17962"/>
    <cellStyle name="Dane wyjściowe 2 9 28 3" xfId="17963"/>
    <cellStyle name="Dane wyjściowe 2 9 29" xfId="17964"/>
    <cellStyle name="Dane wyjściowe 2 9 29 2" xfId="17965"/>
    <cellStyle name="Dane wyjściowe 2 9 29 3" xfId="17966"/>
    <cellStyle name="Dane wyjściowe 2 9 3" xfId="17967"/>
    <cellStyle name="Dane wyjściowe 2 9 3 2" xfId="17968"/>
    <cellStyle name="Dane wyjściowe 2 9 3 3" xfId="17969"/>
    <cellStyle name="Dane wyjściowe 2 9 3 4" xfId="17970"/>
    <cellStyle name="Dane wyjściowe 2 9 30" xfId="17971"/>
    <cellStyle name="Dane wyjściowe 2 9 30 2" xfId="17972"/>
    <cellStyle name="Dane wyjściowe 2 9 30 3" xfId="17973"/>
    <cellStyle name="Dane wyjściowe 2 9 31" xfId="17974"/>
    <cellStyle name="Dane wyjściowe 2 9 31 2" xfId="17975"/>
    <cellStyle name="Dane wyjściowe 2 9 31 3" xfId="17976"/>
    <cellStyle name="Dane wyjściowe 2 9 32" xfId="17977"/>
    <cellStyle name="Dane wyjściowe 2 9 32 2" xfId="17978"/>
    <cellStyle name="Dane wyjściowe 2 9 32 3" xfId="17979"/>
    <cellStyle name="Dane wyjściowe 2 9 33" xfId="17980"/>
    <cellStyle name="Dane wyjściowe 2 9 33 2" xfId="17981"/>
    <cellStyle name="Dane wyjściowe 2 9 33 3" xfId="17982"/>
    <cellStyle name="Dane wyjściowe 2 9 34" xfId="17983"/>
    <cellStyle name="Dane wyjściowe 2 9 34 2" xfId="17984"/>
    <cellStyle name="Dane wyjściowe 2 9 34 3" xfId="17985"/>
    <cellStyle name="Dane wyjściowe 2 9 35" xfId="17986"/>
    <cellStyle name="Dane wyjściowe 2 9 35 2" xfId="17987"/>
    <cellStyle name="Dane wyjściowe 2 9 35 3" xfId="17988"/>
    <cellStyle name="Dane wyjściowe 2 9 36" xfId="17989"/>
    <cellStyle name="Dane wyjściowe 2 9 36 2" xfId="17990"/>
    <cellStyle name="Dane wyjściowe 2 9 36 3" xfId="17991"/>
    <cellStyle name="Dane wyjściowe 2 9 37" xfId="17992"/>
    <cellStyle name="Dane wyjściowe 2 9 37 2" xfId="17993"/>
    <cellStyle name="Dane wyjściowe 2 9 37 3" xfId="17994"/>
    <cellStyle name="Dane wyjściowe 2 9 38" xfId="17995"/>
    <cellStyle name="Dane wyjściowe 2 9 38 2" xfId="17996"/>
    <cellStyle name="Dane wyjściowe 2 9 38 3" xfId="17997"/>
    <cellStyle name="Dane wyjściowe 2 9 39" xfId="17998"/>
    <cellStyle name="Dane wyjściowe 2 9 39 2" xfId="17999"/>
    <cellStyle name="Dane wyjściowe 2 9 39 3" xfId="18000"/>
    <cellStyle name="Dane wyjściowe 2 9 4" xfId="18001"/>
    <cellStyle name="Dane wyjściowe 2 9 4 2" xfId="18002"/>
    <cellStyle name="Dane wyjściowe 2 9 4 3" xfId="18003"/>
    <cellStyle name="Dane wyjściowe 2 9 4 4" xfId="18004"/>
    <cellStyle name="Dane wyjściowe 2 9 40" xfId="18005"/>
    <cellStyle name="Dane wyjściowe 2 9 40 2" xfId="18006"/>
    <cellStyle name="Dane wyjściowe 2 9 40 3" xfId="18007"/>
    <cellStyle name="Dane wyjściowe 2 9 41" xfId="18008"/>
    <cellStyle name="Dane wyjściowe 2 9 41 2" xfId="18009"/>
    <cellStyle name="Dane wyjściowe 2 9 41 3" xfId="18010"/>
    <cellStyle name="Dane wyjściowe 2 9 42" xfId="18011"/>
    <cellStyle name="Dane wyjściowe 2 9 42 2" xfId="18012"/>
    <cellStyle name="Dane wyjściowe 2 9 42 3" xfId="18013"/>
    <cellStyle name="Dane wyjściowe 2 9 43" xfId="18014"/>
    <cellStyle name="Dane wyjściowe 2 9 43 2" xfId="18015"/>
    <cellStyle name="Dane wyjściowe 2 9 43 3" xfId="18016"/>
    <cellStyle name="Dane wyjściowe 2 9 44" xfId="18017"/>
    <cellStyle name="Dane wyjściowe 2 9 44 2" xfId="18018"/>
    <cellStyle name="Dane wyjściowe 2 9 44 3" xfId="18019"/>
    <cellStyle name="Dane wyjściowe 2 9 45" xfId="18020"/>
    <cellStyle name="Dane wyjściowe 2 9 45 2" xfId="18021"/>
    <cellStyle name="Dane wyjściowe 2 9 45 3" xfId="18022"/>
    <cellStyle name="Dane wyjściowe 2 9 46" xfId="18023"/>
    <cellStyle name="Dane wyjściowe 2 9 46 2" xfId="18024"/>
    <cellStyle name="Dane wyjściowe 2 9 46 3" xfId="18025"/>
    <cellStyle name="Dane wyjściowe 2 9 47" xfId="18026"/>
    <cellStyle name="Dane wyjściowe 2 9 47 2" xfId="18027"/>
    <cellStyle name="Dane wyjściowe 2 9 47 3" xfId="18028"/>
    <cellStyle name="Dane wyjściowe 2 9 48" xfId="18029"/>
    <cellStyle name="Dane wyjściowe 2 9 48 2" xfId="18030"/>
    <cellStyle name="Dane wyjściowe 2 9 48 3" xfId="18031"/>
    <cellStyle name="Dane wyjściowe 2 9 49" xfId="18032"/>
    <cellStyle name="Dane wyjściowe 2 9 49 2" xfId="18033"/>
    <cellStyle name="Dane wyjściowe 2 9 49 3" xfId="18034"/>
    <cellStyle name="Dane wyjściowe 2 9 5" xfId="18035"/>
    <cellStyle name="Dane wyjściowe 2 9 5 2" xfId="18036"/>
    <cellStyle name="Dane wyjściowe 2 9 5 3" xfId="18037"/>
    <cellStyle name="Dane wyjściowe 2 9 5 4" xfId="18038"/>
    <cellStyle name="Dane wyjściowe 2 9 50" xfId="18039"/>
    <cellStyle name="Dane wyjściowe 2 9 50 2" xfId="18040"/>
    <cellStyle name="Dane wyjściowe 2 9 50 3" xfId="18041"/>
    <cellStyle name="Dane wyjściowe 2 9 51" xfId="18042"/>
    <cellStyle name="Dane wyjściowe 2 9 51 2" xfId="18043"/>
    <cellStyle name="Dane wyjściowe 2 9 51 3" xfId="18044"/>
    <cellStyle name="Dane wyjściowe 2 9 52" xfId="18045"/>
    <cellStyle name="Dane wyjściowe 2 9 52 2" xfId="18046"/>
    <cellStyle name="Dane wyjściowe 2 9 52 3" xfId="18047"/>
    <cellStyle name="Dane wyjściowe 2 9 53" xfId="18048"/>
    <cellStyle name="Dane wyjściowe 2 9 53 2" xfId="18049"/>
    <cellStyle name="Dane wyjściowe 2 9 53 3" xfId="18050"/>
    <cellStyle name="Dane wyjściowe 2 9 54" xfId="18051"/>
    <cellStyle name="Dane wyjściowe 2 9 54 2" xfId="18052"/>
    <cellStyle name="Dane wyjściowe 2 9 54 3" xfId="18053"/>
    <cellStyle name="Dane wyjściowe 2 9 55" xfId="18054"/>
    <cellStyle name="Dane wyjściowe 2 9 55 2" xfId="18055"/>
    <cellStyle name="Dane wyjściowe 2 9 55 3" xfId="18056"/>
    <cellStyle name="Dane wyjściowe 2 9 56" xfId="18057"/>
    <cellStyle name="Dane wyjściowe 2 9 56 2" xfId="18058"/>
    <cellStyle name="Dane wyjściowe 2 9 56 3" xfId="18059"/>
    <cellStyle name="Dane wyjściowe 2 9 57" xfId="18060"/>
    <cellStyle name="Dane wyjściowe 2 9 58" xfId="18061"/>
    <cellStyle name="Dane wyjściowe 2 9 6" xfId="18062"/>
    <cellStyle name="Dane wyjściowe 2 9 6 2" xfId="18063"/>
    <cellStyle name="Dane wyjściowe 2 9 6 3" xfId="18064"/>
    <cellStyle name="Dane wyjściowe 2 9 6 4" xfId="18065"/>
    <cellStyle name="Dane wyjściowe 2 9 7" xfId="18066"/>
    <cellStyle name="Dane wyjściowe 2 9 7 2" xfId="18067"/>
    <cellStyle name="Dane wyjściowe 2 9 7 3" xfId="18068"/>
    <cellStyle name="Dane wyjściowe 2 9 7 4" xfId="18069"/>
    <cellStyle name="Dane wyjściowe 2 9 8" xfId="18070"/>
    <cellStyle name="Dane wyjściowe 2 9 8 2" xfId="18071"/>
    <cellStyle name="Dane wyjściowe 2 9 8 3" xfId="18072"/>
    <cellStyle name="Dane wyjściowe 2 9 8 4" xfId="18073"/>
    <cellStyle name="Dane wyjściowe 2 9 9" xfId="18074"/>
    <cellStyle name="Dane wyjściowe 2 9 9 2" xfId="18075"/>
    <cellStyle name="Dane wyjściowe 2 9 9 3" xfId="18076"/>
    <cellStyle name="Dane wyjściowe 2 9 9 4" xfId="18077"/>
    <cellStyle name="Dane wyjściowe 3" xfId="18078"/>
    <cellStyle name="Dane wyjściowe 3 2" xfId="18079"/>
    <cellStyle name="Dane wyjściowe 3 2 2" xfId="18080"/>
    <cellStyle name="Dane wyjściowe 3 3" xfId="18081"/>
    <cellStyle name="Dane wyjściowe 3 4" xfId="18082"/>
    <cellStyle name="Dane wyjściowe 3 5" xfId="18083"/>
    <cellStyle name="Dane wyjściowe 3 6" xfId="18084"/>
    <cellStyle name="Dane wyjściowe 3 7" xfId="18085"/>
    <cellStyle name="Dane wyjściowe 3 8" xfId="18086"/>
    <cellStyle name="Dane wyjściowe 3 9" xfId="18087"/>
    <cellStyle name="Dane wyjściowe 4" xfId="18088"/>
    <cellStyle name="Dane wyjściowe 4 2" xfId="18089"/>
    <cellStyle name="Dane wyjściowe 4 3" xfId="18090"/>
    <cellStyle name="Dane wyjściowe 4 4" xfId="18091"/>
    <cellStyle name="Dane wyjściowe 4 5" xfId="18092"/>
    <cellStyle name="Dane wyjściowe 4 6" xfId="18093"/>
    <cellStyle name="Dane wyjściowe 4 7" xfId="18094"/>
    <cellStyle name="Dane wyjściowe 4 8" xfId="18095"/>
    <cellStyle name="Dane wyjściowe 4 9" xfId="18096"/>
    <cellStyle name="Dane wyjściowe 5" xfId="18097"/>
    <cellStyle name="Dane wyjściowe 5 2" xfId="18098"/>
    <cellStyle name="Dane wyjściowe 5 3" xfId="18099"/>
    <cellStyle name="Dane wyjściowe 6" xfId="18100"/>
    <cellStyle name="Dane wyjściowe 6 2" xfId="18101"/>
    <cellStyle name="Dane wyjściowe 7" xfId="18102"/>
    <cellStyle name="Dobre 2" xfId="18103"/>
    <cellStyle name="Dobre 2 10" xfId="18104"/>
    <cellStyle name="Dobre 2 10 2" xfId="18105"/>
    <cellStyle name="Dobre 2 10 3" xfId="18106"/>
    <cellStyle name="Dobre 2 10 4" xfId="18107"/>
    <cellStyle name="Dobre 2 10 5" xfId="18108"/>
    <cellStyle name="Dobre 2 10 6" xfId="18109"/>
    <cellStyle name="Dobre 2 10 7" xfId="18110"/>
    <cellStyle name="Dobre 2 11" xfId="18111"/>
    <cellStyle name="Dobre 2 11 2" xfId="18112"/>
    <cellStyle name="Dobre 2 11 3" xfId="18113"/>
    <cellStyle name="Dobre 2 11 4" xfId="18114"/>
    <cellStyle name="Dobre 2 11 5" xfId="18115"/>
    <cellStyle name="Dobre 2 11 6" xfId="18116"/>
    <cellStyle name="Dobre 2 11 7" xfId="18117"/>
    <cellStyle name="Dobre 2 12" xfId="18118"/>
    <cellStyle name="Dobre 2 12 2" xfId="18119"/>
    <cellStyle name="Dobre 2 12 3" xfId="18120"/>
    <cellStyle name="Dobre 2 12 4" xfId="18121"/>
    <cellStyle name="Dobre 2 12 5" xfId="18122"/>
    <cellStyle name="Dobre 2 12 6" xfId="18123"/>
    <cellStyle name="Dobre 2 12 7" xfId="18124"/>
    <cellStyle name="Dobre 2 13" xfId="18125"/>
    <cellStyle name="Dobre 2 13 2" xfId="18126"/>
    <cellStyle name="Dobre 2 13 3" xfId="18127"/>
    <cellStyle name="Dobre 2 13 4" xfId="18128"/>
    <cellStyle name="Dobre 2 13 5" xfId="18129"/>
    <cellStyle name="Dobre 2 13 6" xfId="18130"/>
    <cellStyle name="Dobre 2 13 7" xfId="18131"/>
    <cellStyle name="Dobre 2 14" xfId="18132"/>
    <cellStyle name="Dobre 2 14 2" xfId="18133"/>
    <cellStyle name="Dobre 2 14 3" xfId="18134"/>
    <cellStyle name="Dobre 2 14 4" xfId="18135"/>
    <cellStyle name="Dobre 2 14 5" xfId="18136"/>
    <cellStyle name="Dobre 2 14 6" xfId="18137"/>
    <cellStyle name="Dobre 2 14 7" xfId="18138"/>
    <cellStyle name="Dobre 2 15" xfId="18139"/>
    <cellStyle name="Dobre 2 15 2" xfId="18140"/>
    <cellStyle name="Dobre 2 15 3" xfId="18141"/>
    <cellStyle name="Dobre 2 15 4" xfId="18142"/>
    <cellStyle name="Dobre 2 15 5" xfId="18143"/>
    <cellStyle name="Dobre 2 15 6" xfId="18144"/>
    <cellStyle name="Dobre 2 15 7" xfId="18145"/>
    <cellStyle name="Dobre 2 16" xfId="18146"/>
    <cellStyle name="Dobre 2 16 2" xfId="18147"/>
    <cellStyle name="Dobre 2 16 3" xfId="18148"/>
    <cellStyle name="Dobre 2 16 4" xfId="18149"/>
    <cellStyle name="Dobre 2 16 5" xfId="18150"/>
    <cellStyle name="Dobre 2 16 6" xfId="18151"/>
    <cellStyle name="Dobre 2 16 7" xfId="18152"/>
    <cellStyle name="Dobre 2 17" xfId="18153"/>
    <cellStyle name="Dobre 2 17 2" xfId="18154"/>
    <cellStyle name="Dobre 2 17 3" xfId="18155"/>
    <cellStyle name="Dobre 2 17 4" xfId="18156"/>
    <cellStyle name="Dobre 2 17 5" xfId="18157"/>
    <cellStyle name="Dobre 2 17 6" xfId="18158"/>
    <cellStyle name="Dobre 2 17 7" xfId="18159"/>
    <cellStyle name="Dobre 2 18" xfId="18160"/>
    <cellStyle name="Dobre 2 18 2" xfId="18161"/>
    <cellStyle name="Dobre 2 18 3" xfId="18162"/>
    <cellStyle name="Dobre 2 18 4" xfId="18163"/>
    <cellStyle name="Dobre 2 18 5" xfId="18164"/>
    <cellStyle name="Dobre 2 18 6" xfId="18165"/>
    <cellStyle name="Dobre 2 18 7" xfId="18166"/>
    <cellStyle name="Dobre 2 19" xfId="18167"/>
    <cellStyle name="Dobre 2 19 2" xfId="18168"/>
    <cellStyle name="Dobre 2 19 3" xfId="18169"/>
    <cellStyle name="Dobre 2 19 4" xfId="18170"/>
    <cellStyle name="Dobre 2 19 5" xfId="18171"/>
    <cellStyle name="Dobre 2 19 6" xfId="18172"/>
    <cellStyle name="Dobre 2 19 7" xfId="18173"/>
    <cellStyle name="Dobre 2 2" xfId="18174"/>
    <cellStyle name="Dobre 2 2 2" xfId="18175"/>
    <cellStyle name="Dobre 2 2 3" xfId="18176"/>
    <cellStyle name="Dobre 2 2 4" xfId="18177"/>
    <cellStyle name="Dobre 2 2 5" xfId="18178"/>
    <cellStyle name="Dobre 2 2 6" xfId="18179"/>
    <cellStyle name="Dobre 2 2 7" xfId="18180"/>
    <cellStyle name="Dobre 2 2 8" xfId="18181"/>
    <cellStyle name="Dobre 2 20" xfId="18182"/>
    <cellStyle name="Dobre 2 20 2" xfId="18183"/>
    <cellStyle name="Dobre 2 20 3" xfId="18184"/>
    <cellStyle name="Dobre 2 20 4" xfId="18185"/>
    <cellStyle name="Dobre 2 20 5" xfId="18186"/>
    <cellStyle name="Dobre 2 20 6" xfId="18187"/>
    <cellStyle name="Dobre 2 20 7" xfId="18188"/>
    <cellStyle name="Dobre 2 21" xfId="18189"/>
    <cellStyle name="Dobre 2 21 2" xfId="18190"/>
    <cellStyle name="Dobre 2 21 3" xfId="18191"/>
    <cellStyle name="Dobre 2 21 4" xfId="18192"/>
    <cellStyle name="Dobre 2 21 5" xfId="18193"/>
    <cellStyle name="Dobre 2 21 6" xfId="18194"/>
    <cellStyle name="Dobre 2 21 7" xfId="18195"/>
    <cellStyle name="Dobre 2 22" xfId="18196"/>
    <cellStyle name="Dobre 2 22 2" xfId="18197"/>
    <cellStyle name="Dobre 2 22 3" xfId="18198"/>
    <cellStyle name="Dobre 2 22 4" xfId="18199"/>
    <cellStyle name="Dobre 2 22 5" xfId="18200"/>
    <cellStyle name="Dobre 2 22 6" xfId="18201"/>
    <cellStyle name="Dobre 2 22 7" xfId="18202"/>
    <cellStyle name="Dobre 2 23" xfId="18203"/>
    <cellStyle name="Dobre 2 23 2" xfId="18204"/>
    <cellStyle name="Dobre 2 23 3" xfId="18205"/>
    <cellStyle name="Dobre 2 23 4" xfId="18206"/>
    <cellStyle name="Dobre 2 23 5" xfId="18207"/>
    <cellStyle name="Dobre 2 23 6" xfId="18208"/>
    <cellStyle name="Dobre 2 23 7" xfId="18209"/>
    <cellStyle name="Dobre 2 24" xfId="18210"/>
    <cellStyle name="Dobre 2 24 2" xfId="18211"/>
    <cellStyle name="Dobre 2 24 3" xfId="18212"/>
    <cellStyle name="Dobre 2 24 4" xfId="18213"/>
    <cellStyle name="Dobre 2 24 5" xfId="18214"/>
    <cellStyle name="Dobre 2 24 6" xfId="18215"/>
    <cellStyle name="Dobre 2 24 7" xfId="18216"/>
    <cellStyle name="Dobre 2 25" xfId="18217"/>
    <cellStyle name="Dobre 2 25 2" xfId="18218"/>
    <cellStyle name="Dobre 2 25 3" xfId="18219"/>
    <cellStyle name="Dobre 2 25 4" xfId="18220"/>
    <cellStyle name="Dobre 2 25 5" xfId="18221"/>
    <cellStyle name="Dobre 2 25 6" xfId="18222"/>
    <cellStyle name="Dobre 2 25 7" xfId="18223"/>
    <cellStyle name="Dobre 2 26" xfId="18224"/>
    <cellStyle name="Dobre 2 26 2" xfId="18225"/>
    <cellStyle name="Dobre 2 26 3" xfId="18226"/>
    <cellStyle name="Dobre 2 26 4" xfId="18227"/>
    <cellStyle name="Dobre 2 26 5" xfId="18228"/>
    <cellStyle name="Dobre 2 26 6" xfId="18229"/>
    <cellStyle name="Dobre 2 26 7" xfId="18230"/>
    <cellStyle name="Dobre 2 27" xfId="18231"/>
    <cellStyle name="Dobre 2 27 2" xfId="18232"/>
    <cellStyle name="Dobre 2 27 3" xfId="18233"/>
    <cellStyle name="Dobre 2 27 4" xfId="18234"/>
    <cellStyle name="Dobre 2 27 5" xfId="18235"/>
    <cellStyle name="Dobre 2 27 6" xfId="18236"/>
    <cellStyle name="Dobre 2 27 7" xfId="18237"/>
    <cellStyle name="Dobre 2 28" xfId="18238"/>
    <cellStyle name="Dobre 2 28 2" xfId="18239"/>
    <cellStyle name="Dobre 2 28 3" xfId="18240"/>
    <cellStyle name="Dobre 2 28 4" xfId="18241"/>
    <cellStyle name="Dobre 2 28 5" xfId="18242"/>
    <cellStyle name="Dobre 2 28 6" xfId="18243"/>
    <cellStyle name="Dobre 2 28 7" xfId="18244"/>
    <cellStyle name="Dobre 2 29" xfId="18245"/>
    <cellStyle name="Dobre 2 29 2" xfId="18246"/>
    <cellStyle name="Dobre 2 3" xfId="18247"/>
    <cellStyle name="Dobre 2 3 2" xfId="18248"/>
    <cellStyle name="Dobre 2 3 3" xfId="18249"/>
    <cellStyle name="Dobre 2 3 4" xfId="18250"/>
    <cellStyle name="Dobre 2 3 5" xfId="18251"/>
    <cellStyle name="Dobre 2 3 6" xfId="18252"/>
    <cellStyle name="Dobre 2 3 7" xfId="18253"/>
    <cellStyle name="Dobre 2 30" xfId="18254"/>
    <cellStyle name="Dobre 2 30 2" xfId="18255"/>
    <cellStyle name="Dobre 2 31" xfId="18256"/>
    <cellStyle name="Dobre 2 31 2" xfId="18257"/>
    <cellStyle name="Dobre 2 32" xfId="18258"/>
    <cellStyle name="Dobre 2 32 2" xfId="18259"/>
    <cellStyle name="Dobre 2 33" xfId="18260"/>
    <cellStyle name="Dobre 2 34" xfId="18261"/>
    <cellStyle name="Dobre 2 35" xfId="18262"/>
    <cellStyle name="Dobre 2 36" xfId="18263"/>
    <cellStyle name="Dobre 2 37" xfId="18264"/>
    <cellStyle name="Dobre 2 38" xfId="18265"/>
    <cellStyle name="Dobre 2 39" xfId="18266"/>
    <cellStyle name="Dobre 2 4" xfId="18267"/>
    <cellStyle name="Dobre 2 4 2" xfId="18268"/>
    <cellStyle name="Dobre 2 4 3" xfId="18269"/>
    <cellStyle name="Dobre 2 4 4" xfId="18270"/>
    <cellStyle name="Dobre 2 4 5" xfId="18271"/>
    <cellStyle name="Dobre 2 4 6" xfId="18272"/>
    <cellStyle name="Dobre 2 4 7" xfId="18273"/>
    <cellStyle name="Dobre 2 5" xfId="18274"/>
    <cellStyle name="Dobre 2 5 2" xfId="18275"/>
    <cellStyle name="Dobre 2 5 3" xfId="18276"/>
    <cellStyle name="Dobre 2 5 4" xfId="18277"/>
    <cellStyle name="Dobre 2 5 5" xfId="18278"/>
    <cellStyle name="Dobre 2 5 6" xfId="18279"/>
    <cellStyle name="Dobre 2 5 7" xfId="18280"/>
    <cellStyle name="Dobre 2 6" xfId="18281"/>
    <cellStyle name="Dobre 2 6 2" xfId="18282"/>
    <cellStyle name="Dobre 2 6 3" xfId="18283"/>
    <cellStyle name="Dobre 2 6 4" xfId="18284"/>
    <cellStyle name="Dobre 2 6 5" xfId="18285"/>
    <cellStyle name="Dobre 2 6 6" xfId="18286"/>
    <cellStyle name="Dobre 2 6 7" xfId="18287"/>
    <cellStyle name="Dobre 2 7" xfId="18288"/>
    <cellStyle name="Dobre 2 7 2" xfId="18289"/>
    <cellStyle name="Dobre 2 7 3" xfId="18290"/>
    <cellStyle name="Dobre 2 7 4" xfId="18291"/>
    <cellStyle name="Dobre 2 7 5" xfId="18292"/>
    <cellStyle name="Dobre 2 7 6" xfId="18293"/>
    <cellStyle name="Dobre 2 7 7" xfId="18294"/>
    <cellStyle name="Dobre 2 8" xfId="18295"/>
    <cellStyle name="Dobre 2 8 2" xfId="18296"/>
    <cellStyle name="Dobre 2 8 3" xfId="18297"/>
    <cellStyle name="Dobre 2 8 4" xfId="18298"/>
    <cellStyle name="Dobre 2 8 5" xfId="18299"/>
    <cellStyle name="Dobre 2 8 6" xfId="18300"/>
    <cellStyle name="Dobre 2 8 7" xfId="18301"/>
    <cellStyle name="Dobre 2 9" xfId="18302"/>
    <cellStyle name="Dobre 2 9 2" xfId="18303"/>
    <cellStyle name="Dobre 2 9 3" xfId="18304"/>
    <cellStyle name="Dobre 2 9 4" xfId="18305"/>
    <cellStyle name="Dobre 2 9 5" xfId="18306"/>
    <cellStyle name="Dobre 2 9 6" xfId="18307"/>
    <cellStyle name="Dobre 2 9 7" xfId="18308"/>
    <cellStyle name="Dobre 3" xfId="18309"/>
    <cellStyle name="Dobre 3 2" xfId="18310"/>
    <cellStyle name="Dobre 3 2 2" xfId="18311"/>
    <cellStyle name="Dobre 3 3" xfId="18312"/>
    <cellStyle name="Dobre 3 4" xfId="18313"/>
    <cellStyle name="Dobre 3 5" xfId="18314"/>
    <cellStyle name="Dobre 3 6" xfId="18315"/>
    <cellStyle name="Dobre 3 7" xfId="18316"/>
    <cellStyle name="Dobre 3 8" xfId="18317"/>
    <cellStyle name="Dobre 3 9" xfId="18318"/>
    <cellStyle name="Dobre 4" xfId="18319"/>
    <cellStyle name="Dobre 4 2" xfId="18320"/>
    <cellStyle name="Dobre 4 3" xfId="18321"/>
    <cellStyle name="Dobre 4 4" xfId="18322"/>
    <cellStyle name="Dobre 4 5" xfId="18323"/>
    <cellStyle name="Dobre 4 6" xfId="18324"/>
    <cellStyle name="Dobre 4 7" xfId="18325"/>
    <cellStyle name="Dobre 4 8" xfId="18326"/>
    <cellStyle name="Dobre 4 9" xfId="18327"/>
    <cellStyle name="Dobre 5" xfId="18328"/>
    <cellStyle name="Dobre 5 2" xfId="18329"/>
    <cellStyle name="Dobre 5 3" xfId="18330"/>
    <cellStyle name="Dobre 6" xfId="18331"/>
    <cellStyle name="Dobre 6 2" xfId="18332"/>
    <cellStyle name="Dobre 7" xfId="18333"/>
    <cellStyle name="done" xfId="18334"/>
    <cellStyle name="Dziesietny [0]_Arkusz1" xfId="18335"/>
    <cellStyle name="Dziesietny_Arkusz1" xfId="18336"/>
    <cellStyle name="Dziesiętny" xfId="1" builtinId="3"/>
    <cellStyle name="Dziesiętny 10" xfId="18337"/>
    <cellStyle name="Dziesiętny 11" xfId="18338"/>
    <cellStyle name="Dziesiętny 12" xfId="18339"/>
    <cellStyle name="Dziesiętny 13" xfId="42846"/>
    <cellStyle name="Dziesiętny 14" xfId="10"/>
    <cellStyle name="Dziesiętny 2" xfId="8"/>
    <cellStyle name="Dziesiętny 2 10" xfId="18341"/>
    <cellStyle name="Dziesiętny 2 10 2" xfId="18342"/>
    <cellStyle name="Dziesiętny 2 11" xfId="18343"/>
    <cellStyle name="Dziesiętny 2 11 2" xfId="18344"/>
    <cellStyle name="Dziesiętny 2 12" xfId="18345"/>
    <cellStyle name="Dziesiętny 2 12 2" xfId="18346"/>
    <cellStyle name="Dziesiętny 2 13" xfId="18347"/>
    <cellStyle name="Dziesiętny 2 13 2" xfId="18348"/>
    <cellStyle name="Dziesiętny 2 14" xfId="18349"/>
    <cellStyle name="Dziesiętny 2 14 2" xfId="18350"/>
    <cellStyle name="Dziesiętny 2 15" xfId="18351"/>
    <cellStyle name="Dziesiętny 2 15 2" xfId="18352"/>
    <cellStyle name="Dziesiętny 2 16" xfId="18353"/>
    <cellStyle name="Dziesiętny 2 16 2" xfId="18354"/>
    <cellStyle name="Dziesiętny 2 17" xfId="18355"/>
    <cellStyle name="Dziesiętny 2 17 2" xfId="18356"/>
    <cellStyle name="Dziesiętny 2 18" xfId="18357"/>
    <cellStyle name="Dziesiętny 2 18 2" xfId="18358"/>
    <cellStyle name="Dziesiętny 2 19" xfId="18359"/>
    <cellStyle name="Dziesiętny 2 19 2" xfId="18360"/>
    <cellStyle name="Dziesiętny 2 2" xfId="18361"/>
    <cellStyle name="Dziesiętny 2 2 2" xfId="18362"/>
    <cellStyle name="Dziesiętny 2 2 2 2" xfId="18363"/>
    <cellStyle name="Dziesiętny 2 2 2 3" xfId="18364"/>
    <cellStyle name="Dziesiętny 2 2 2 4" xfId="18365"/>
    <cellStyle name="Dziesiętny 2 2 2 5" xfId="18366"/>
    <cellStyle name="Dziesiętny 2 2 2 6" xfId="18367"/>
    <cellStyle name="Dziesiętny 2 2 2 7" xfId="18368"/>
    <cellStyle name="Dziesiętny 2 2 3" xfId="18369"/>
    <cellStyle name="Dziesiętny 2 2 3 2" xfId="18370"/>
    <cellStyle name="Dziesiętny 2 2 3 3" xfId="18371"/>
    <cellStyle name="Dziesiętny 2 2 3 4" xfId="18372"/>
    <cellStyle name="Dziesiętny 2 2 3 5" xfId="18373"/>
    <cellStyle name="Dziesiętny 2 2 3 6" xfId="18374"/>
    <cellStyle name="Dziesiętny 2 2 4" xfId="18375"/>
    <cellStyle name="Dziesiętny 2 2 4 2" xfId="18376"/>
    <cellStyle name="Dziesiętny 2 2 5" xfId="18377"/>
    <cellStyle name="Dziesiętny 2 2 5 2" xfId="18378"/>
    <cellStyle name="Dziesiętny 2 2 6" xfId="18379"/>
    <cellStyle name="Dziesiętny 2 2 6 2" xfId="18380"/>
    <cellStyle name="Dziesiętny 2 2 7" xfId="18381"/>
    <cellStyle name="Dziesiętny 2 2 8" xfId="18382"/>
    <cellStyle name="Dziesiętny 2 2 9" xfId="18383"/>
    <cellStyle name="Dziesiętny 2 20" xfId="18384"/>
    <cellStyle name="Dziesiętny 2 20 2" xfId="18385"/>
    <cellStyle name="Dziesiętny 2 21" xfId="18386"/>
    <cellStyle name="Dziesiętny 2 21 2" xfId="18387"/>
    <cellStyle name="Dziesiętny 2 22" xfId="18388"/>
    <cellStyle name="Dziesiętny 2 23" xfId="18389"/>
    <cellStyle name="Dziesiętny 2 24" xfId="18390"/>
    <cellStyle name="Dziesiętny 2 25" xfId="18391"/>
    <cellStyle name="Dziesiętny 2 26" xfId="18392"/>
    <cellStyle name="Dziesiętny 2 27" xfId="18393"/>
    <cellStyle name="Dziesiętny 2 28" xfId="18394"/>
    <cellStyle name="Dziesiętny 2 29" xfId="18395"/>
    <cellStyle name="Dziesiętny 2 3" xfId="18396"/>
    <cellStyle name="Dziesiętny 2 3 2" xfId="18397"/>
    <cellStyle name="Dziesiętny 2 3 2 2" xfId="18398"/>
    <cellStyle name="Dziesiętny 2 3 3" xfId="18399"/>
    <cellStyle name="Dziesiętny 2 3 4" xfId="18400"/>
    <cellStyle name="Dziesiętny 2 3 5" xfId="18401"/>
    <cellStyle name="Dziesiętny 2 3 6" xfId="18402"/>
    <cellStyle name="Dziesiętny 2 3 7" xfId="18403"/>
    <cellStyle name="Dziesiętny 2 3 8" xfId="18404"/>
    <cellStyle name="Dziesiętny 2 30" xfId="18405"/>
    <cellStyle name="Dziesiętny 2 31" xfId="18406"/>
    <cellStyle name="Dziesiętny 2 32" xfId="18407"/>
    <cellStyle name="Dziesiętny 2 33" xfId="18408"/>
    <cellStyle name="Dziesiętny 2 34" xfId="18409"/>
    <cellStyle name="Dziesiętny 2 35" xfId="18410"/>
    <cellStyle name="Dziesiętny 2 36" xfId="18411"/>
    <cellStyle name="Dziesiętny 2 37" xfId="18412"/>
    <cellStyle name="Dziesiętny 2 38" xfId="18413"/>
    <cellStyle name="Dziesiętny 2 39" xfId="18414"/>
    <cellStyle name="Dziesiętny 2 4" xfId="18415"/>
    <cellStyle name="Dziesiętny 2 4 2" xfId="18416"/>
    <cellStyle name="Dziesiętny 2 4 3" xfId="18417"/>
    <cellStyle name="Dziesiętny 2 4 4" xfId="18418"/>
    <cellStyle name="Dziesiętny 2 4 5" xfId="18419"/>
    <cellStyle name="Dziesiętny 2 40" xfId="18420"/>
    <cellStyle name="Dziesiętny 2 41" xfId="18421"/>
    <cellStyle name="Dziesiętny 2 42" xfId="18422"/>
    <cellStyle name="Dziesiętny 2 43" xfId="18423"/>
    <cellStyle name="Dziesiętny 2 44" xfId="18424"/>
    <cellStyle name="Dziesiętny 2 45" xfId="18425"/>
    <cellStyle name="Dziesiętny 2 46" xfId="18426"/>
    <cellStyle name="Dziesiętny 2 47" xfId="18427"/>
    <cellStyle name="Dziesiętny 2 48" xfId="18428"/>
    <cellStyle name="Dziesiętny 2 49" xfId="18429"/>
    <cellStyle name="Dziesiętny 2 5" xfId="18430"/>
    <cellStyle name="Dziesiętny 2 5 2" xfId="18431"/>
    <cellStyle name="Dziesiętny 2 50" xfId="18432"/>
    <cellStyle name="Dziesiętny 2 51" xfId="18433"/>
    <cellStyle name="Dziesiętny 2 52" xfId="18434"/>
    <cellStyle name="Dziesiętny 2 53" xfId="18340"/>
    <cellStyle name="Dziesiętny 2 6" xfId="18435"/>
    <cellStyle name="Dziesiętny 2 6 2" xfId="18436"/>
    <cellStyle name="Dziesiętny 2 7" xfId="18437"/>
    <cellStyle name="Dziesiętny 2 7 2" xfId="18438"/>
    <cellStyle name="Dziesiętny 2 8" xfId="18439"/>
    <cellStyle name="Dziesiętny 2 8 2" xfId="18440"/>
    <cellStyle name="Dziesiętny 2 9" xfId="18441"/>
    <cellStyle name="Dziesiętny 2 9 2" xfId="18442"/>
    <cellStyle name="Dziesiętny 3" xfId="18443"/>
    <cellStyle name="Dziesiętny 3 10" xfId="18444"/>
    <cellStyle name="Dziesiętny 3 11" xfId="18445"/>
    <cellStyle name="Dziesiętny 3 12" xfId="18446"/>
    <cellStyle name="Dziesiętny 3 13" xfId="18447"/>
    <cellStyle name="Dziesiętny 3 14" xfId="18448"/>
    <cellStyle name="Dziesiętny 3 15" xfId="18449"/>
    <cellStyle name="Dziesiętny 3 16" xfId="18450"/>
    <cellStyle name="Dziesiętny 3 17" xfId="18451"/>
    <cellStyle name="Dziesiętny 3 18" xfId="18452"/>
    <cellStyle name="Dziesiętny 3 19" xfId="18453"/>
    <cellStyle name="Dziesiętny 3 2" xfId="18454"/>
    <cellStyle name="Dziesiętny 3 2 2" xfId="18455"/>
    <cellStyle name="Dziesiętny 3 2 3" xfId="18456"/>
    <cellStyle name="Dziesiętny 3 3" xfId="18457"/>
    <cellStyle name="Dziesiętny 3 3 2" xfId="18458"/>
    <cellStyle name="Dziesiętny 3 3 3" xfId="18459"/>
    <cellStyle name="Dziesiętny 3 4" xfId="17"/>
    <cellStyle name="Dziesiętny 3 4 2" xfId="18460"/>
    <cellStyle name="Dziesiętny 3 4 3" xfId="18461"/>
    <cellStyle name="Dziesiętny 3 4 4" xfId="18462"/>
    <cellStyle name="Dziesiętny 3 5" xfId="18463"/>
    <cellStyle name="Dziesiętny 3 6" xfId="18464"/>
    <cellStyle name="Dziesiętny 3 7" xfId="18465"/>
    <cellStyle name="Dziesiętny 3 8" xfId="18466"/>
    <cellStyle name="Dziesiętny 3 9" xfId="18467"/>
    <cellStyle name="Dziesiętny 4" xfId="18468"/>
    <cellStyle name="Dziesiętny 4 2" xfId="18469"/>
    <cellStyle name="Dziesiętny 4 2 2" xfId="18470"/>
    <cellStyle name="Dziesiętny 4 2 2 2" xfId="18471"/>
    <cellStyle name="Dziesiętny 4 2 3" xfId="18472"/>
    <cellStyle name="Dziesiętny 4 3" xfId="18473"/>
    <cellStyle name="Dziesiętny 4 3 2" xfId="18474"/>
    <cellStyle name="Dziesiętny 4 4" xfId="18475"/>
    <cellStyle name="Dziesiętny 4 4 2" xfId="18476"/>
    <cellStyle name="Dziesiętny 4 4 3" xfId="18477"/>
    <cellStyle name="Dziesiętny 4 5" xfId="18478"/>
    <cellStyle name="Dziesiętny 5" xfId="18479"/>
    <cellStyle name="Dziesiętny 5 2" xfId="18480"/>
    <cellStyle name="Dziesiętny 6" xfId="18481"/>
    <cellStyle name="Dziesiętny 6 2" xfId="18482"/>
    <cellStyle name="Dziesiętny 7" xfId="18483"/>
    <cellStyle name="Dziesiętny 8" xfId="18484"/>
    <cellStyle name="Dziesiętny 9" xfId="18485"/>
    <cellStyle name="E&amp;Y House" xfId="18486"/>
    <cellStyle name="Euro" xfId="18487"/>
    <cellStyle name="Euro 2" xfId="18488"/>
    <cellStyle name="Euro 2 2" xfId="18489"/>
    <cellStyle name="Euro 3" xfId="18490"/>
    <cellStyle name="Euro 3 2" xfId="18491"/>
    <cellStyle name="Euro 4" xfId="18492"/>
    <cellStyle name="Ezres [0]_cb-fr" xfId="18493"/>
    <cellStyle name="Ezres_cb-fr" xfId="18494"/>
    <cellStyle name="Family_Option" xfId="18495"/>
    <cellStyle name="FormBk" xfId="18496"/>
    <cellStyle name="general" xfId="18497"/>
    <cellStyle name="Grey" xfId="18498"/>
    <cellStyle name="GROS" xfId="18499"/>
    <cellStyle name="Header1" xfId="18500"/>
    <cellStyle name="Header2" xfId="18501"/>
    <cellStyle name="heading1" xfId="18502"/>
    <cellStyle name="heading2" xfId="18503"/>
    <cellStyle name="heading3" xfId="18504"/>
    <cellStyle name="heading4" xfId="18505"/>
    <cellStyle name="heading5" xfId="18506"/>
    <cellStyle name="Hiperłącze 2" xfId="18507"/>
    <cellStyle name="HUF" xfId="18508"/>
    <cellStyle name="Hyperlink_Arkusz Sygnity_2009H2 v10" xfId="18509"/>
    <cellStyle name="Input [yellow]" xfId="18510"/>
    <cellStyle name="International" xfId="18511"/>
    <cellStyle name="International1" xfId="18512"/>
    <cellStyle name="k$" xfId="18513"/>
    <cellStyle name="kECU" xfId="18514"/>
    <cellStyle name="kHUF" xfId="18515"/>
    <cellStyle name="kLE" xfId="18516"/>
    <cellStyle name="Komórka połączona 2" xfId="18517"/>
    <cellStyle name="Komórka połączona 2 10" xfId="18518"/>
    <cellStyle name="Komórka połączona 2 10 2" xfId="18519"/>
    <cellStyle name="Komórka połączona 2 10 3" xfId="18520"/>
    <cellStyle name="Komórka połączona 2 10 4" xfId="18521"/>
    <cellStyle name="Komórka połączona 2 10 5" xfId="18522"/>
    <cellStyle name="Komórka połączona 2 10 6" xfId="18523"/>
    <cellStyle name="Komórka połączona 2 10 7" xfId="18524"/>
    <cellStyle name="Komórka połączona 2 11" xfId="18525"/>
    <cellStyle name="Komórka połączona 2 11 2" xfId="18526"/>
    <cellStyle name="Komórka połączona 2 11 3" xfId="18527"/>
    <cellStyle name="Komórka połączona 2 11 4" xfId="18528"/>
    <cellStyle name="Komórka połączona 2 11 5" xfId="18529"/>
    <cellStyle name="Komórka połączona 2 11 6" xfId="18530"/>
    <cellStyle name="Komórka połączona 2 11 7" xfId="18531"/>
    <cellStyle name="Komórka połączona 2 12" xfId="18532"/>
    <cellStyle name="Komórka połączona 2 12 2" xfId="18533"/>
    <cellStyle name="Komórka połączona 2 12 3" xfId="18534"/>
    <cellStyle name="Komórka połączona 2 12 4" xfId="18535"/>
    <cellStyle name="Komórka połączona 2 12 5" xfId="18536"/>
    <cellStyle name="Komórka połączona 2 12 6" xfId="18537"/>
    <cellStyle name="Komórka połączona 2 12 7" xfId="18538"/>
    <cellStyle name="Komórka połączona 2 13" xfId="18539"/>
    <cellStyle name="Komórka połączona 2 13 2" xfId="18540"/>
    <cellStyle name="Komórka połączona 2 13 3" xfId="18541"/>
    <cellStyle name="Komórka połączona 2 13 4" xfId="18542"/>
    <cellStyle name="Komórka połączona 2 13 5" xfId="18543"/>
    <cellStyle name="Komórka połączona 2 13 6" xfId="18544"/>
    <cellStyle name="Komórka połączona 2 13 7" xfId="18545"/>
    <cellStyle name="Komórka połączona 2 14" xfId="18546"/>
    <cellStyle name="Komórka połączona 2 14 2" xfId="18547"/>
    <cellStyle name="Komórka połączona 2 14 3" xfId="18548"/>
    <cellStyle name="Komórka połączona 2 14 4" xfId="18549"/>
    <cellStyle name="Komórka połączona 2 14 5" xfId="18550"/>
    <cellStyle name="Komórka połączona 2 14 6" xfId="18551"/>
    <cellStyle name="Komórka połączona 2 14 7" xfId="18552"/>
    <cellStyle name="Komórka połączona 2 15" xfId="18553"/>
    <cellStyle name="Komórka połączona 2 15 2" xfId="18554"/>
    <cellStyle name="Komórka połączona 2 15 3" xfId="18555"/>
    <cellStyle name="Komórka połączona 2 15 4" xfId="18556"/>
    <cellStyle name="Komórka połączona 2 15 5" xfId="18557"/>
    <cellStyle name="Komórka połączona 2 15 6" xfId="18558"/>
    <cellStyle name="Komórka połączona 2 15 7" xfId="18559"/>
    <cellStyle name="Komórka połączona 2 16" xfId="18560"/>
    <cellStyle name="Komórka połączona 2 16 2" xfId="18561"/>
    <cellStyle name="Komórka połączona 2 16 3" xfId="18562"/>
    <cellStyle name="Komórka połączona 2 16 4" xfId="18563"/>
    <cellStyle name="Komórka połączona 2 16 5" xfId="18564"/>
    <cellStyle name="Komórka połączona 2 16 6" xfId="18565"/>
    <cellStyle name="Komórka połączona 2 16 7" xfId="18566"/>
    <cellStyle name="Komórka połączona 2 17" xfId="18567"/>
    <cellStyle name="Komórka połączona 2 17 2" xfId="18568"/>
    <cellStyle name="Komórka połączona 2 17 3" xfId="18569"/>
    <cellStyle name="Komórka połączona 2 17 4" xfId="18570"/>
    <cellStyle name="Komórka połączona 2 17 5" xfId="18571"/>
    <cellStyle name="Komórka połączona 2 17 6" xfId="18572"/>
    <cellStyle name="Komórka połączona 2 17 7" xfId="18573"/>
    <cellStyle name="Komórka połączona 2 18" xfId="18574"/>
    <cellStyle name="Komórka połączona 2 18 2" xfId="18575"/>
    <cellStyle name="Komórka połączona 2 18 3" xfId="18576"/>
    <cellStyle name="Komórka połączona 2 18 4" xfId="18577"/>
    <cellStyle name="Komórka połączona 2 18 5" xfId="18578"/>
    <cellStyle name="Komórka połączona 2 18 6" xfId="18579"/>
    <cellStyle name="Komórka połączona 2 18 7" xfId="18580"/>
    <cellStyle name="Komórka połączona 2 19" xfId="18581"/>
    <cellStyle name="Komórka połączona 2 19 2" xfId="18582"/>
    <cellStyle name="Komórka połączona 2 19 3" xfId="18583"/>
    <cellStyle name="Komórka połączona 2 19 4" xfId="18584"/>
    <cellStyle name="Komórka połączona 2 19 5" xfId="18585"/>
    <cellStyle name="Komórka połączona 2 19 6" xfId="18586"/>
    <cellStyle name="Komórka połączona 2 19 7" xfId="18587"/>
    <cellStyle name="Komórka połączona 2 2" xfId="18588"/>
    <cellStyle name="Komórka połączona 2 2 2" xfId="18589"/>
    <cellStyle name="Komórka połączona 2 2 3" xfId="18590"/>
    <cellStyle name="Komórka połączona 2 2 4" xfId="18591"/>
    <cellStyle name="Komórka połączona 2 2 5" xfId="18592"/>
    <cellStyle name="Komórka połączona 2 2 6" xfId="18593"/>
    <cellStyle name="Komórka połączona 2 2 7" xfId="18594"/>
    <cellStyle name="Komórka połączona 2 2 8" xfId="18595"/>
    <cellStyle name="Komórka połączona 2 20" xfId="18596"/>
    <cellStyle name="Komórka połączona 2 20 2" xfId="18597"/>
    <cellStyle name="Komórka połączona 2 20 3" xfId="18598"/>
    <cellStyle name="Komórka połączona 2 20 4" xfId="18599"/>
    <cellStyle name="Komórka połączona 2 20 5" xfId="18600"/>
    <cellStyle name="Komórka połączona 2 20 6" xfId="18601"/>
    <cellStyle name="Komórka połączona 2 20 7" xfId="18602"/>
    <cellStyle name="Komórka połączona 2 21" xfId="18603"/>
    <cellStyle name="Komórka połączona 2 21 2" xfId="18604"/>
    <cellStyle name="Komórka połączona 2 21 3" xfId="18605"/>
    <cellStyle name="Komórka połączona 2 21 4" xfId="18606"/>
    <cellStyle name="Komórka połączona 2 21 5" xfId="18607"/>
    <cellStyle name="Komórka połączona 2 21 6" xfId="18608"/>
    <cellStyle name="Komórka połączona 2 21 7" xfId="18609"/>
    <cellStyle name="Komórka połączona 2 22" xfId="18610"/>
    <cellStyle name="Komórka połączona 2 22 2" xfId="18611"/>
    <cellStyle name="Komórka połączona 2 22 3" xfId="18612"/>
    <cellStyle name="Komórka połączona 2 22 4" xfId="18613"/>
    <cellStyle name="Komórka połączona 2 22 5" xfId="18614"/>
    <cellStyle name="Komórka połączona 2 22 6" xfId="18615"/>
    <cellStyle name="Komórka połączona 2 22 7" xfId="18616"/>
    <cellStyle name="Komórka połączona 2 23" xfId="18617"/>
    <cellStyle name="Komórka połączona 2 23 2" xfId="18618"/>
    <cellStyle name="Komórka połączona 2 23 3" xfId="18619"/>
    <cellStyle name="Komórka połączona 2 23 4" xfId="18620"/>
    <cellStyle name="Komórka połączona 2 23 5" xfId="18621"/>
    <cellStyle name="Komórka połączona 2 23 6" xfId="18622"/>
    <cellStyle name="Komórka połączona 2 23 7" xfId="18623"/>
    <cellStyle name="Komórka połączona 2 24" xfId="18624"/>
    <cellStyle name="Komórka połączona 2 24 2" xfId="18625"/>
    <cellStyle name="Komórka połączona 2 24 3" xfId="18626"/>
    <cellStyle name="Komórka połączona 2 24 4" xfId="18627"/>
    <cellStyle name="Komórka połączona 2 24 5" xfId="18628"/>
    <cellStyle name="Komórka połączona 2 24 6" xfId="18629"/>
    <cellStyle name="Komórka połączona 2 24 7" xfId="18630"/>
    <cellStyle name="Komórka połączona 2 25" xfId="18631"/>
    <cellStyle name="Komórka połączona 2 25 2" xfId="18632"/>
    <cellStyle name="Komórka połączona 2 25 3" xfId="18633"/>
    <cellStyle name="Komórka połączona 2 25 4" xfId="18634"/>
    <cellStyle name="Komórka połączona 2 25 5" xfId="18635"/>
    <cellStyle name="Komórka połączona 2 25 6" xfId="18636"/>
    <cellStyle name="Komórka połączona 2 25 7" xfId="18637"/>
    <cellStyle name="Komórka połączona 2 26" xfId="18638"/>
    <cellStyle name="Komórka połączona 2 26 2" xfId="18639"/>
    <cellStyle name="Komórka połączona 2 26 3" xfId="18640"/>
    <cellStyle name="Komórka połączona 2 26 4" xfId="18641"/>
    <cellStyle name="Komórka połączona 2 26 5" xfId="18642"/>
    <cellStyle name="Komórka połączona 2 26 6" xfId="18643"/>
    <cellStyle name="Komórka połączona 2 26 7" xfId="18644"/>
    <cellStyle name="Komórka połączona 2 27" xfId="18645"/>
    <cellStyle name="Komórka połączona 2 27 2" xfId="18646"/>
    <cellStyle name="Komórka połączona 2 27 3" xfId="18647"/>
    <cellStyle name="Komórka połączona 2 27 4" xfId="18648"/>
    <cellStyle name="Komórka połączona 2 27 5" xfId="18649"/>
    <cellStyle name="Komórka połączona 2 27 6" xfId="18650"/>
    <cellStyle name="Komórka połączona 2 27 7" xfId="18651"/>
    <cellStyle name="Komórka połączona 2 28" xfId="18652"/>
    <cellStyle name="Komórka połączona 2 28 2" xfId="18653"/>
    <cellStyle name="Komórka połączona 2 28 3" xfId="18654"/>
    <cellStyle name="Komórka połączona 2 28 4" xfId="18655"/>
    <cellStyle name="Komórka połączona 2 28 5" xfId="18656"/>
    <cellStyle name="Komórka połączona 2 28 6" xfId="18657"/>
    <cellStyle name="Komórka połączona 2 28 7" xfId="18658"/>
    <cellStyle name="Komórka połączona 2 29" xfId="18659"/>
    <cellStyle name="Komórka połączona 2 29 2" xfId="18660"/>
    <cellStyle name="Komórka połączona 2 3" xfId="18661"/>
    <cellStyle name="Komórka połączona 2 3 2" xfId="18662"/>
    <cellStyle name="Komórka połączona 2 3 3" xfId="18663"/>
    <cellStyle name="Komórka połączona 2 3 4" xfId="18664"/>
    <cellStyle name="Komórka połączona 2 3 5" xfId="18665"/>
    <cellStyle name="Komórka połączona 2 3 6" xfId="18666"/>
    <cellStyle name="Komórka połączona 2 3 7" xfId="18667"/>
    <cellStyle name="Komórka połączona 2 30" xfId="18668"/>
    <cellStyle name="Komórka połączona 2 30 2" xfId="18669"/>
    <cellStyle name="Komórka połączona 2 31" xfId="18670"/>
    <cellStyle name="Komórka połączona 2 31 2" xfId="18671"/>
    <cellStyle name="Komórka połączona 2 32" xfId="18672"/>
    <cellStyle name="Komórka połączona 2 32 2" xfId="18673"/>
    <cellStyle name="Komórka połączona 2 33" xfId="18674"/>
    <cellStyle name="Komórka połączona 2 34" xfId="18675"/>
    <cellStyle name="Komórka połączona 2 35" xfId="18676"/>
    <cellStyle name="Komórka połączona 2 36" xfId="18677"/>
    <cellStyle name="Komórka połączona 2 37" xfId="18678"/>
    <cellStyle name="Komórka połączona 2 38" xfId="18679"/>
    <cellStyle name="Komórka połączona 2 4" xfId="18680"/>
    <cellStyle name="Komórka połączona 2 4 2" xfId="18681"/>
    <cellStyle name="Komórka połączona 2 4 3" xfId="18682"/>
    <cellStyle name="Komórka połączona 2 4 4" xfId="18683"/>
    <cellStyle name="Komórka połączona 2 4 5" xfId="18684"/>
    <cellStyle name="Komórka połączona 2 4 6" xfId="18685"/>
    <cellStyle name="Komórka połączona 2 4 7" xfId="18686"/>
    <cellStyle name="Komórka połączona 2 5" xfId="18687"/>
    <cellStyle name="Komórka połączona 2 5 2" xfId="18688"/>
    <cellStyle name="Komórka połączona 2 5 3" xfId="18689"/>
    <cellStyle name="Komórka połączona 2 5 4" xfId="18690"/>
    <cellStyle name="Komórka połączona 2 5 5" xfId="18691"/>
    <cellStyle name="Komórka połączona 2 5 6" xfId="18692"/>
    <cellStyle name="Komórka połączona 2 5 7" xfId="18693"/>
    <cellStyle name="Komórka połączona 2 6" xfId="18694"/>
    <cellStyle name="Komórka połączona 2 6 2" xfId="18695"/>
    <cellStyle name="Komórka połączona 2 6 3" xfId="18696"/>
    <cellStyle name="Komórka połączona 2 6 4" xfId="18697"/>
    <cellStyle name="Komórka połączona 2 6 5" xfId="18698"/>
    <cellStyle name="Komórka połączona 2 6 6" xfId="18699"/>
    <cellStyle name="Komórka połączona 2 6 7" xfId="18700"/>
    <cellStyle name="Komórka połączona 2 7" xfId="18701"/>
    <cellStyle name="Komórka połączona 2 7 2" xfId="18702"/>
    <cellStyle name="Komórka połączona 2 7 3" xfId="18703"/>
    <cellStyle name="Komórka połączona 2 7 4" xfId="18704"/>
    <cellStyle name="Komórka połączona 2 7 5" xfId="18705"/>
    <cellStyle name="Komórka połączona 2 7 6" xfId="18706"/>
    <cellStyle name="Komórka połączona 2 7 7" xfId="18707"/>
    <cellStyle name="Komórka połączona 2 8" xfId="18708"/>
    <cellStyle name="Komórka połączona 2 8 2" xfId="18709"/>
    <cellStyle name="Komórka połączona 2 8 3" xfId="18710"/>
    <cellStyle name="Komórka połączona 2 8 4" xfId="18711"/>
    <cellStyle name="Komórka połączona 2 8 5" xfId="18712"/>
    <cellStyle name="Komórka połączona 2 8 6" xfId="18713"/>
    <cellStyle name="Komórka połączona 2 8 7" xfId="18714"/>
    <cellStyle name="Komórka połączona 2 9" xfId="18715"/>
    <cellStyle name="Komórka połączona 2 9 2" xfId="18716"/>
    <cellStyle name="Komórka połączona 2 9 3" xfId="18717"/>
    <cellStyle name="Komórka połączona 2 9 4" xfId="18718"/>
    <cellStyle name="Komórka połączona 2 9 5" xfId="18719"/>
    <cellStyle name="Komórka połączona 2 9 6" xfId="18720"/>
    <cellStyle name="Komórka połączona 2 9 7" xfId="18721"/>
    <cellStyle name="Komórka połączona 3" xfId="18722"/>
    <cellStyle name="Komórka połączona 3 2" xfId="18723"/>
    <cellStyle name="Komórka połączona 3 2 2" xfId="18724"/>
    <cellStyle name="Komórka połączona 3 3" xfId="18725"/>
    <cellStyle name="Komórka połączona 3 4" xfId="18726"/>
    <cellStyle name="Komórka połączona 3 5" xfId="18727"/>
    <cellStyle name="Komórka połączona 3 6" xfId="18728"/>
    <cellStyle name="Komórka połączona 3 7" xfId="18729"/>
    <cellStyle name="Komórka połączona 3 8" xfId="18730"/>
    <cellStyle name="Komórka połączona 3 9" xfId="18731"/>
    <cellStyle name="Komórka połączona 4" xfId="18732"/>
    <cellStyle name="Komórka połączona 4 2" xfId="18733"/>
    <cellStyle name="Komórka połączona 4 3" xfId="18734"/>
    <cellStyle name="Komórka połączona 4 4" xfId="18735"/>
    <cellStyle name="Komórka połączona 4 5" xfId="18736"/>
    <cellStyle name="Komórka połączona 4 6" xfId="18737"/>
    <cellStyle name="Komórka połączona 4 7" xfId="18738"/>
    <cellStyle name="Komórka połączona 4 8" xfId="18739"/>
    <cellStyle name="Komórka połączona 4 9" xfId="18740"/>
    <cellStyle name="Komórka połączona 5" xfId="18741"/>
    <cellStyle name="Komórka połączona 5 2" xfId="18742"/>
    <cellStyle name="Komórka połączona 6" xfId="18743"/>
    <cellStyle name="Komórka połączona 7" xfId="18744"/>
    <cellStyle name="Komórka zaznaczona 2" xfId="18745"/>
    <cellStyle name="Komórka zaznaczona 2 10" xfId="18746"/>
    <cellStyle name="Komórka zaznaczona 2 10 2" xfId="18747"/>
    <cellStyle name="Komórka zaznaczona 2 10 3" xfId="18748"/>
    <cellStyle name="Komórka zaznaczona 2 10 4" xfId="18749"/>
    <cellStyle name="Komórka zaznaczona 2 10 5" xfId="18750"/>
    <cellStyle name="Komórka zaznaczona 2 10 6" xfId="18751"/>
    <cellStyle name="Komórka zaznaczona 2 10 7" xfId="18752"/>
    <cellStyle name="Komórka zaznaczona 2 11" xfId="18753"/>
    <cellStyle name="Komórka zaznaczona 2 11 2" xfId="18754"/>
    <cellStyle name="Komórka zaznaczona 2 11 3" xfId="18755"/>
    <cellStyle name="Komórka zaznaczona 2 11 4" xfId="18756"/>
    <cellStyle name="Komórka zaznaczona 2 11 5" xfId="18757"/>
    <cellStyle name="Komórka zaznaczona 2 11 6" xfId="18758"/>
    <cellStyle name="Komórka zaznaczona 2 11 7" xfId="18759"/>
    <cellStyle name="Komórka zaznaczona 2 12" xfId="18760"/>
    <cellStyle name="Komórka zaznaczona 2 12 2" xfId="18761"/>
    <cellStyle name="Komórka zaznaczona 2 12 3" xfId="18762"/>
    <cellStyle name="Komórka zaznaczona 2 12 4" xfId="18763"/>
    <cellStyle name="Komórka zaznaczona 2 12 5" xfId="18764"/>
    <cellStyle name="Komórka zaznaczona 2 12 6" xfId="18765"/>
    <cellStyle name="Komórka zaznaczona 2 12 7" xfId="18766"/>
    <cellStyle name="Komórka zaznaczona 2 13" xfId="18767"/>
    <cellStyle name="Komórka zaznaczona 2 13 2" xfId="18768"/>
    <cellStyle name="Komórka zaznaczona 2 13 3" xfId="18769"/>
    <cellStyle name="Komórka zaznaczona 2 13 4" xfId="18770"/>
    <cellStyle name="Komórka zaznaczona 2 13 5" xfId="18771"/>
    <cellStyle name="Komórka zaznaczona 2 13 6" xfId="18772"/>
    <cellStyle name="Komórka zaznaczona 2 13 7" xfId="18773"/>
    <cellStyle name="Komórka zaznaczona 2 14" xfId="18774"/>
    <cellStyle name="Komórka zaznaczona 2 14 2" xfId="18775"/>
    <cellStyle name="Komórka zaznaczona 2 14 3" xfId="18776"/>
    <cellStyle name="Komórka zaznaczona 2 14 4" xfId="18777"/>
    <cellStyle name="Komórka zaznaczona 2 14 5" xfId="18778"/>
    <cellStyle name="Komórka zaznaczona 2 14 6" xfId="18779"/>
    <cellStyle name="Komórka zaznaczona 2 14 7" xfId="18780"/>
    <cellStyle name="Komórka zaznaczona 2 15" xfId="18781"/>
    <cellStyle name="Komórka zaznaczona 2 15 2" xfId="18782"/>
    <cellStyle name="Komórka zaznaczona 2 15 3" xfId="18783"/>
    <cellStyle name="Komórka zaznaczona 2 15 4" xfId="18784"/>
    <cellStyle name="Komórka zaznaczona 2 15 5" xfId="18785"/>
    <cellStyle name="Komórka zaznaczona 2 15 6" xfId="18786"/>
    <cellStyle name="Komórka zaznaczona 2 15 7" xfId="18787"/>
    <cellStyle name="Komórka zaznaczona 2 16" xfId="18788"/>
    <cellStyle name="Komórka zaznaczona 2 16 2" xfId="18789"/>
    <cellStyle name="Komórka zaznaczona 2 16 3" xfId="18790"/>
    <cellStyle name="Komórka zaznaczona 2 16 4" xfId="18791"/>
    <cellStyle name="Komórka zaznaczona 2 16 5" xfId="18792"/>
    <cellStyle name="Komórka zaznaczona 2 16 6" xfId="18793"/>
    <cellStyle name="Komórka zaznaczona 2 16 7" xfId="18794"/>
    <cellStyle name="Komórka zaznaczona 2 17" xfId="18795"/>
    <cellStyle name="Komórka zaznaczona 2 17 2" xfId="18796"/>
    <cellStyle name="Komórka zaznaczona 2 17 3" xfId="18797"/>
    <cellStyle name="Komórka zaznaczona 2 17 4" xfId="18798"/>
    <cellStyle name="Komórka zaznaczona 2 17 5" xfId="18799"/>
    <cellStyle name="Komórka zaznaczona 2 17 6" xfId="18800"/>
    <cellStyle name="Komórka zaznaczona 2 17 7" xfId="18801"/>
    <cellStyle name="Komórka zaznaczona 2 18" xfId="18802"/>
    <cellStyle name="Komórka zaznaczona 2 18 2" xfId="18803"/>
    <cellStyle name="Komórka zaznaczona 2 18 3" xfId="18804"/>
    <cellStyle name="Komórka zaznaczona 2 18 4" xfId="18805"/>
    <cellStyle name="Komórka zaznaczona 2 18 5" xfId="18806"/>
    <cellStyle name="Komórka zaznaczona 2 18 6" xfId="18807"/>
    <cellStyle name="Komórka zaznaczona 2 18 7" xfId="18808"/>
    <cellStyle name="Komórka zaznaczona 2 19" xfId="18809"/>
    <cellStyle name="Komórka zaznaczona 2 19 2" xfId="18810"/>
    <cellStyle name="Komórka zaznaczona 2 19 3" xfId="18811"/>
    <cellStyle name="Komórka zaznaczona 2 19 4" xfId="18812"/>
    <cellStyle name="Komórka zaznaczona 2 19 5" xfId="18813"/>
    <cellStyle name="Komórka zaznaczona 2 19 6" xfId="18814"/>
    <cellStyle name="Komórka zaznaczona 2 19 7" xfId="18815"/>
    <cellStyle name="Komórka zaznaczona 2 2" xfId="18816"/>
    <cellStyle name="Komórka zaznaczona 2 2 2" xfId="18817"/>
    <cellStyle name="Komórka zaznaczona 2 2 3" xfId="18818"/>
    <cellStyle name="Komórka zaznaczona 2 2 4" xfId="18819"/>
    <cellStyle name="Komórka zaznaczona 2 2 5" xfId="18820"/>
    <cellStyle name="Komórka zaznaczona 2 2 6" xfId="18821"/>
    <cellStyle name="Komórka zaznaczona 2 2 7" xfId="18822"/>
    <cellStyle name="Komórka zaznaczona 2 2 8" xfId="18823"/>
    <cellStyle name="Komórka zaznaczona 2 20" xfId="18824"/>
    <cellStyle name="Komórka zaznaczona 2 20 2" xfId="18825"/>
    <cellStyle name="Komórka zaznaczona 2 20 3" xfId="18826"/>
    <cellStyle name="Komórka zaznaczona 2 20 4" xfId="18827"/>
    <cellStyle name="Komórka zaznaczona 2 20 5" xfId="18828"/>
    <cellStyle name="Komórka zaznaczona 2 20 6" xfId="18829"/>
    <cellStyle name="Komórka zaznaczona 2 20 7" xfId="18830"/>
    <cellStyle name="Komórka zaznaczona 2 21" xfId="18831"/>
    <cellStyle name="Komórka zaznaczona 2 21 2" xfId="18832"/>
    <cellStyle name="Komórka zaznaczona 2 21 3" xfId="18833"/>
    <cellStyle name="Komórka zaznaczona 2 21 4" xfId="18834"/>
    <cellStyle name="Komórka zaznaczona 2 21 5" xfId="18835"/>
    <cellStyle name="Komórka zaznaczona 2 21 6" xfId="18836"/>
    <cellStyle name="Komórka zaznaczona 2 21 7" xfId="18837"/>
    <cellStyle name="Komórka zaznaczona 2 22" xfId="18838"/>
    <cellStyle name="Komórka zaznaczona 2 22 2" xfId="18839"/>
    <cellStyle name="Komórka zaznaczona 2 22 3" xfId="18840"/>
    <cellStyle name="Komórka zaznaczona 2 22 4" xfId="18841"/>
    <cellStyle name="Komórka zaznaczona 2 22 5" xfId="18842"/>
    <cellStyle name="Komórka zaznaczona 2 22 6" xfId="18843"/>
    <cellStyle name="Komórka zaznaczona 2 22 7" xfId="18844"/>
    <cellStyle name="Komórka zaznaczona 2 23" xfId="18845"/>
    <cellStyle name="Komórka zaznaczona 2 23 2" xfId="18846"/>
    <cellStyle name="Komórka zaznaczona 2 23 3" xfId="18847"/>
    <cellStyle name="Komórka zaznaczona 2 23 4" xfId="18848"/>
    <cellStyle name="Komórka zaznaczona 2 23 5" xfId="18849"/>
    <cellStyle name="Komórka zaznaczona 2 23 6" xfId="18850"/>
    <cellStyle name="Komórka zaznaczona 2 23 7" xfId="18851"/>
    <cellStyle name="Komórka zaznaczona 2 24" xfId="18852"/>
    <cellStyle name="Komórka zaznaczona 2 24 2" xfId="18853"/>
    <cellStyle name="Komórka zaznaczona 2 24 3" xfId="18854"/>
    <cellStyle name="Komórka zaznaczona 2 24 4" xfId="18855"/>
    <cellStyle name="Komórka zaznaczona 2 24 5" xfId="18856"/>
    <cellStyle name="Komórka zaznaczona 2 24 6" xfId="18857"/>
    <cellStyle name="Komórka zaznaczona 2 24 7" xfId="18858"/>
    <cellStyle name="Komórka zaznaczona 2 25" xfId="18859"/>
    <cellStyle name="Komórka zaznaczona 2 25 2" xfId="18860"/>
    <cellStyle name="Komórka zaznaczona 2 25 3" xfId="18861"/>
    <cellStyle name="Komórka zaznaczona 2 25 4" xfId="18862"/>
    <cellStyle name="Komórka zaznaczona 2 25 5" xfId="18863"/>
    <cellStyle name="Komórka zaznaczona 2 25 6" xfId="18864"/>
    <cellStyle name="Komórka zaznaczona 2 25 7" xfId="18865"/>
    <cellStyle name="Komórka zaznaczona 2 26" xfId="18866"/>
    <cellStyle name="Komórka zaznaczona 2 26 2" xfId="18867"/>
    <cellStyle name="Komórka zaznaczona 2 26 3" xfId="18868"/>
    <cellStyle name="Komórka zaznaczona 2 26 4" xfId="18869"/>
    <cellStyle name="Komórka zaznaczona 2 26 5" xfId="18870"/>
    <cellStyle name="Komórka zaznaczona 2 26 6" xfId="18871"/>
    <cellStyle name="Komórka zaznaczona 2 26 7" xfId="18872"/>
    <cellStyle name="Komórka zaznaczona 2 27" xfId="18873"/>
    <cellStyle name="Komórka zaznaczona 2 27 2" xfId="18874"/>
    <cellStyle name="Komórka zaznaczona 2 27 3" xfId="18875"/>
    <cellStyle name="Komórka zaznaczona 2 27 4" xfId="18876"/>
    <cellStyle name="Komórka zaznaczona 2 27 5" xfId="18877"/>
    <cellStyle name="Komórka zaznaczona 2 27 6" xfId="18878"/>
    <cellStyle name="Komórka zaznaczona 2 27 7" xfId="18879"/>
    <cellStyle name="Komórka zaznaczona 2 28" xfId="18880"/>
    <cellStyle name="Komórka zaznaczona 2 28 2" xfId="18881"/>
    <cellStyle name="Komórka zaznaczona 2 28 3" xfId="18882"/>
    <cellStyle name="Komórka zaznaczona 2 28 4" xfId="18883"/>
    <cellStyle name="Komórka zaznaczona 2 28 5" xfId="18884"/>
    <cellStyle name="Komórka zaznaczona 2 28 6" xfId="18885"/>
    <cellStyle name="Komórka zaznaczona 2 28 7" xfId="18886"/>
    <cellStyle name="Komórka zaznaczona 2 29" xfId="18887"/>
    <cellStyle name="Komórka zaznaczona 2 29 2" xfId="18888"/>
    <cellStyle name="Komórka zaznaczona 2 3" xfId="18889"/>
    <cellStyle name="Komórka zaznaczona 2 3 2" xfId="18890"/>
    <cellStyle name="Komórka zaznaczona 2 3 3" xfId="18891"/>
    <cellStyle name="Komórka zaznaczona 2 3 4" xfId="18892"/>
    <cellStyle name="Komórka zaznaczona 2 3 5" xfId="18893"/>
    <cellStyle name="Komórka zaznaczona 2 3 6" xfId="18894"/>
    <cellStyle name="Komórka zaznaczona 2 3 7" xfId="18895"/>
    <cellStyle name="Komórka zaznaczona 2 30" xfId="18896"/>
    <cellStyle name="Komórka zaznaczona 2 30 2" xfId="18897"/>
    <cellStyle name="Komórka zaznaczona 2 31" xfId="18898"/>
    <cellStyle name="Komórka zaznaczona 2 31 2" xfId="18899"/>
    <cellStyle name="Komórka zaznaczona 2 32" xfId="18900"/>
    <cellStyle name="Komórka zaznaczona 2 32 2" xfId="18901"/>
    <cellStyle name="Komórka zaznaczona 2 33" xfId="18902"/>
    <cellStyle name="Komórka zaznaczona 2 34" xfId="18903"/>
    <cellStyle name="Komórka zaznaczona 2 35" xfId="18904"/>
    <cellStyle name="Komórka zaznaczona 2 36" xfId="18905"/>
    <cellStyle name="Komórka zaznaczona 2 37" xfId="18906"/>
    <cellStyle name="Komórka zaznaczona 2 38" xfId="18907"/>
    <cellStyle name="Komórka zaznaczona 2 39" xfId="18908"/>
    <cellStyle name="Komórka zaznaczona 2 4" xfId="18909"/>
    <cellStyle name="Komórka zaznaczona 2 4 2" xfId="18910"/>
    <cellStyle name="Komórka zaznaczona 2 4 3" xfId="18911"/>
    <cellStyle name="Komórka zaznaczona 2 4 4" xfId="18912"/>
    <cellStyle name="Komórka zaznaczona 2 4 5" xfId="18913"/>
    <cellStyle name="Komórka zaznaczona 2 4 6" xfId="18914"/>
    <cellStyle name="Komórka zaznaczona 2 4 7" xfId="18915"/>
    <cellStyle name="Komórka zaznaczona 2 40" xfId="18916"/>
    <cellStyle name="Komórka zaznaczona 2 41" xfId="18917"/>
    <cellStyle name="Komórka zaznaczona 2 42" xfId="18918"/>
    <cellStyle name="Komórka zaznaczona 2 43" xfId="18919"/>
    <cellStyle name="Komórka zaznaczona 2 44" xfId="18920"/>
    <cellStyle name="Komórka zaznaczona 2 45" xfId="18921"/>
    <cellStyle name="Komórka zaznaczona 2 46" xfId="18922"/>
    <cellStyle name="Komórka zaznaczona 2 47" xfId="18923"/>
    <cellStyle name="Komórka zaznaczona 2 48" xfId="18924"/>
    <cellStyle name="Komórka zaznaczona 2 49" xfId="18925"/>
    <cellStyle name="Komórka zaznaczona 2 5" xfId="18926"/>
    <cellStyle name="Komórka zaznaczona 2 5 2" xfId="18927"/>
    <cellStyle name="Komórka zaznaczona 2 5 3" xfId="18928"/>
    <cellStyle name="Komórka zaznaczona 2 5 4" xfId="18929"/>
    <cellStyle name="Komórka zaznaczona 2 5 5" xfId="18930"/>
    <cellStyle name="Komórka zaznaczona 2 5 6" xfId="18931"/>
    <cellStyle name="Komórka zaznaczona 2 5 7" xfId="18932"/>
    <cellStyle name="Komórka zaznaczona 2 50" xfId="18933"/>
    <cellStyle name="Komórka zaznaczona 2 51" xfId="18934"/>
    <cellStyle name="Komórka zaznaczona 2 52" xfId="18935"/>
    <cellStyle name="Komórka zaznaczona 2 53" xfId="18936"/>
    <cellStyle name="Komórka zaznaczona 2 54" xfId="18937"/>
    <cellStyle name="Komórka zaznaczona 2 6" xfId="18938"/>
    <cellStyle name="Komórka zaznaczona 2 6 2" xfId="18939"/>
    <cellStyle name="Komórka zaznaczona 2 6 3" xfId="18940"/>
    <cellStyle name="Komórka zaznaczona 2 6 4" xfId="18941"/>
    <cellStyle name="Komórka zaznaczona 2 6 5" xfId="18942"/>
    <cellStyle name="Komórka zaznaczona 2 6 6" xfId="18943"/>
    <cellStyle name="Komórka zaznaczona 2 6 7" xfId="18944"/>
    <cellStyle name="Komórka zaznaczona 2 7" xfId="18945"/>
    <cellStyle name="Komórka zaznaczona 2 7 2" xfId="18946"/>
    <cellStyle name="Komórka zaznaczona 2 7 3" xfId="18947"/>
    <cellStyle name="Komórka zaznaczona 2 7 4" xfId="18948"/>
    <cellStyle name="Komórka zaznaczona 2 7 5" xfId="18949"/>
    <cellStyle name="Komórka zaznaczona 2 7 6" xfId="18950"/>
    <cellStyle name="Komórka zaznaczona 2 7 7" xfId="18951"/>
    <cellStyle name="Komórka zaznaczona 2 8" xfId="18952"/>
    <cellStyle name="Komórka zaznaczona 2 8 2" xfId="18953"/>
    <cellStyle name="Komórka zaznaczona 2 8 3" xfId="18954"/>
    <cellStyle name="Komórka zaznaczona 2 8 4" xfId="18955"/>
    <cellStyle name="Komórka zaznaczona 2 8 5" xfId="18956"/>
    <cellStyle name="Komórka zaznaczona 2 8 6" xfId="18957"/>
    <cellStyle name="Komórka zaznaczona 2 8 7" xfId="18958"/>
    <cellStyle name="Komórka zaznaczona 2 9" xfId="18959"/>
    <cellStyle name="Komórka zaznaczona 2 9 2" xfId="18960"/>
    <cellStyle name="Komórka zaznaczona 2 9 3" xfId="18961"/>
    <cellStyle name="Komórka zaznaczona 2 9 4" xfId="18962"/>
    <cellStyle name="Komórka zaznaczona 2 9 5" xfId="18963"/>
    <cellStyle name="Komórka zaznaczona 2 9 6" xfId="18964"/>
    <cellStyle name="Komórka zaznaczona 2 9 7" xfId="18965"/>
    <cellStyle name="Komórka zaznaczona 3" xfId="18966"/>
    <cellStyle name="Komórka zaznaczona 3 10" xfId="18967"/>
    <cellStyle name="Komórka zaznaczona 3 2" xfId="18968"/>
    <cellStyle name="Komórka zaznaczona 3 2 2" xfId="18969"/>
    <cellStyle name="Komórka zaznaczona 3 2 3" xfId="18970"/>
    <cellStyle name="Komórka zaznaczona 3 3" xfId="18971"/>
    <cellStyle name="Komórka zaznaczona 3 4" xfId="18972"/>
    <cellStyle name="Komórka zaznaczona 3 5" xfId="18973"/>
    <cellStyle name="Komórka zaznaczona 3 6" xfId="18974"/>
    <cellStyle name="Komórka zaznaczona 3 7" xfId="18975"/>
    <cellStyle name="Komórka zaznaczona 3 8" xfId="18976"/>
    <cellStyle name="Komórka zaznaczona 3 9" xfId="18977"/>
    <cellStyle name="Komórka zaznaczona 4" xfId="18978"/>
    <cellStyle name="Komórka zaznaczona 4 10" xfId="18979"/>
    <cellStyle name="Komórka zaznaczona 4 2" xfId="18980"/>
    <cellStyle name="Komórka zaznaczona 4 3" xfId="18981"/>
    <cellStyle name="Komórka zaznaczona 4 4" xfId="18982"/>
    <cellStyle name="Komórka zaznaczona 4 5" xfId="18983"/>
    <cellStyle name="Komórka zaznaczona 4 6" xfId="18984"/>
    <cellStyle name="Komórka zaznaczona 4 7" xfId="18985"/>
    <cellStyle name="Komórka zaznaczona 4 8" xfId="18986"/>
    <cellStyle name="Komórka zaznaczona 4 9" xfId="18987"/>
    <cellStyle name="Komórka zaznaczona 5" xfId="18988"/>
    <cellStyle name="Komórka zaznaczona 5 2" xfId="18989"/>
    <cellStyle name="Komórka zaznaczona 5 3" xfId="18990"/>
    <cellStyle name="Komórka zaznaczona 6" xfId="18991"/>
    <cellStyle name="Komórka zaznaczona 6 2" xfId="18992"/>
    <cellStyle name="Komórka zaznaczona 7" xfId="18993"/>
    <cellStyle name="LP0" xfId="18994"/>
    <cellStyle name="měny_laroux" xfId="18995"/>
    <cellStyle name="Miglia - Style1" xfId="18996"/>
    <cellStyle name="Migliaia (0)" xfId="18997"/>
    <cellStyle name="Milliers [0]_CASHUPDA" xfId="18998"/>
    <cellStyle name="Milliers_CASHUPDA" xfId="18999"/>
    <cellStyle name="Monétaire [0]_CASHUPDA" xfId="19000"/>
    <cellStyle name="Monétaire_CASHUPDA" xfId="19001"/>
    <cellStyle name="Nagłówek 1 2" xfId="19002"/>
    <cellStyle name="Nagłówek 1 2 10" xfId="19003"/>
    <cellStyle name="Nagłówek 1 2 10 2" xfId="19004"/>
    <cellStyle name="Nagłówek 1 2 10 3" xfId="19005"/>
    <cellStyle name="Nagłówek 1 2 10 4" xfId="19006"/>
    <cellStyle name="Nagłówek 1 2 10 5" xfId="19007"/>
    <cellStyle name="Nagłówek 1 2 10 6" xfId="19008"/>
    <cellStyle name="Nagłówek 1 2 10 7" xfId="19009"/>
    <cellStyle name="Nagłówek 1 2 11" xfId="19010"/>
    <cellStyle name="Nagłówek 1 2 11 2" xfId="19011"/>
    <cellStyle name="Nagłówek 1 2 11 3" xfId="19012"/>
    <cellStyle name="Nagłówek 1 2 11 4" xfId="19013"/>
    <cellStyle name="Nagłówek 1 2 11 5" xfId="19014"/>
    <cellStyle name="Nagłówek 1 2 11 6" xfId="19015"/>
    <cellStyle name="Nagłówek 1 2 11 7" xfId="19016"/>
    <cellStyle name="Nagłówek 1 2 12" xfId="19017"/>
    <cellStyle name="Nagłówek 1 2 12 2" xfId="19018"/>
    <cellStyle name="Nagłówek 1 2 12 3" xfId="19019"/>
    <cellStyle name="Nagłówek 1 2 12 4" xfId="19020"/>
    <cellStyle name="Nagłówek 1 2 12 5" xfId="19021"/>
    <cellStyle name="Nagłówek 1 2 12 6" xfId="19022"/>
    <cellStyle name="Nagłówek 1 2 12 7" xfId="19023"/>
    <cellStyle name="Nagłówek 1 2 13" xfId="19024"/>
    <cellStyle name="Nagłówek 1 2 13 2" xfId="19025"/>
    <cellStyle name="Nagłówek 1 2 13 3" xfId="19026"/>
    <cellStyle name="Nagłówek 1 2 13 4" xfId="19027"/>
    <cellStyle name="Nagłówek 1 2 13 5" xfId="19028"/>
    <cellStyle name="Nagłówek 1 2 13 6" xfId="19029"/>
    <cellStyle name="Nagłówek 1 2 13 7" xfId="19030"/>
    <cellStyle name="Nagłówek 1 2 14" xfId="19031"/>
    <cellStyle name="Nagłówek 1 2 14 2" xfId="19032"/>
    <cellStyle name="Nagłówek 1 2 14 3" xfId="19033"/>
    <cellStyle name="Nagłówek 1 2 14 4" xfId="19034"/>
    <cellStyle name="Nagłówek 1 2 14 5" xfId="19035"/>
    <cellStyle name="Nagłówek 1 2 14 6" xfId="19036"/>
    <cellStyle name="Nagłówek 1 2 14 7" xfId="19037"/>
    <cellStyle name="Nagłówek 1 2 15" xfId="19038"/>
    <cellStyle name="Nagłówek 1 2 15 2" xfId="19039"/>
    <cellStyle name="Nagłówek 1 2 15 3" xfId="19040"/>
    <cellStyle name="Nagłówek 1 2 15 4" xfId="19041"/>
    <cellStyle name="Nagłówek 1 2 15 5" xfId="19042"/>
    <cellStyle name="Nagłówek 1 2 15 6" xfId="19043"/>
    <cellStyle name="Nagłówek 1 2 15 7" xfId="19044"/>
    <cellStyle name="Nagłówek 1 2 16" xfId="19045"/>
    <cellStyle name="Nagłówek 1 2 16 2" xfId="19046"/>
    <cellStyle name="Nagłówek 1 2 16 3" xfId="19047"/>
    <cellStyle name="Nagłówek 1 2 16 4" xfId="19048"/>
    <cellStyle name="Nagłówek 1 2 16 5" xfId="19049"/>
    <cellStyle name="Nagłówek 1 2 16 6" xfId="19050"/>
    <cellStyle name="Nagłówek 1 2 16 7" xfId="19051"/>
    <cellStyle name="Nagłówek 1 2 17" xfId="19052"/>
    <cellStyle name="Nagłówek 1 2 17 2" xfId="19053"/>
    <cellStyle name="Nagłówek 1 2 17 3" xfId="19054"/>
    <cellStyle name="Nagłówek 1 2 17 4" xfId="19055"/>
    <cellStyle name="Nagłówek 1 2 17 5" xfId="19056"/>
    <cellStyle name="Nagłówek 1 2 17 6" xfId="19057"/>
    <cellStyle name="Nagłówek 1 2 17 7" xfId="19058"/>
    <cellStyle name="Nagłówek 1 2 18" xfId="19059"/>
    <cellStyle name="Nagłówek 1 2 18 2" xfId="19060"/>
    <cellStyle name="Nagłówek 1 2 18 3" xfId="19061"/>
    <cellStyle name="Nagłówek 1 2 18 4" xfId="19062"/>
    <cellStyle name="Nagłówek 1 2 18 5" xfId="19063"/>
    <cellStyle name="Nagłówek 1 2 18 6" xfId="19064"/>
    <cellStyle name="Nagłówek 1 2 18 7" xfId="19065"/>
    <cellStyle name="Nagłówek 1 2 19" xfId="19066"/>
    <cellStyle name="Nagłówek 1 2 19 2" xfId="19067"/>
    <cellStyle name="Nagłówek 1 2 19 3" xfId="19068"/>
    <cellStyle name="Nagłówek 1 2 19 4" xfId="19069"/>
    <cellStyle name="Nagłówek 1 2 19 5" xfId="19070"/>
    <cellStyle name="Nagłówek 1 2 19 6" xfId="19071"/>
    <cellStyle name="Nagłówek 1 2 19 7" xfId="19072"/>
    <cellStyle name="Nagłówek 1 2 2" xfId="19073"/>
    <cellStyle name="Nagłówek 1 2 2 2" xfId="19074"/>
    <cellStyle name="Nagłówek 1 2 2 3" xfId="19075"/>
    <cellStyle name="Nagłówek 1 2 2 4" xfId="19076"/>
    <cellStyle name="Nagłówek 1 2 2 5" xfId="19077"/>
    <cellStyle name="Nagłówek 1 2 2 6" xfId="19078"/>
    <cellStyle name="Nagłówek 1 2 2 7" xfId="19079"/>
    <cellStyle name="Nagłówek 1 2 2 8" xfId="19080"/>
    <cellStyle name="Nagłówek 1 2 20" xfId="19081"/>
    <cellStyle name="Nagłówek 1 2 20 2" xfId="19082"/>
    <cellStyle name="Nagłówek 1 2 20 3" xfId="19083"/>
    <cellStyle name="Nagłówek 1 2 20 4" xfId="19084"/>
    <cellStyle name="Nagłówek 1 2 20 5" xfId="19085"/>
    <cellStyle name="Nagłówek 1 2 20 6" xfId="19086"/>
    <cellStyle name="Nagłówek 1 2 20 7" xfId="19087"/>
    <cellStyle name="Nagłówek 1 2 21" xfId="19088"/>
    <cellStyle name="Nagłówek 1 2 21 2" xfId="19089"/>
    <cellStyle name="Nagłówek 1 2 21 3" xfId="19090"/>
    <cellStyle name="Nagłówek 1 2 21 4" xfId="19091"/>
    <cellStyle name="Nagłówek 1 2 21 5" xfId="19092"/>
    <cellStyle name="Nagłówek 1 2 21 6" xfId="19093"/>
    <cellStyle name="Nagłówek 1 2 21 7" xfId="19094"/>
    <cellStyle name="Nagłówek 1 2 22" xfId="19095"/>
    <cellStyle name="Nagłówek 1 2 22 2" xfId="19096"/>
    <cellStyle name="Nagłówek 1 2 22 3" xfId="19097"/>
    <cellStyle name="Nagłówek 1 2 22 4" xfId="19098"/>
    <cellStyle name="Nagłówek 1 2 22 5" xfId="19099"/>
    <cellStyle name="Nagłówek 1 2 22 6" xfId="19100"/>
    <cellStyle name="Nagłówek 1 2 22 7" xfId="19101"/>
    <cellStyle name="Nagłówek 1 2 23" xfId="19102"/>
    <cellStyle name="Nagłówek 1 2 23 2" xfId="19103"/>
    <cellStyle name="Nagłówek 1 2 23 3" xfId="19104"/>
    <cellStyle name="Nagłówek 1 2 23 4" xfId="19105"/>
    <cellStyle name="Nagłówek 1 2 23 5" xfId="19106"/>
    <cellStyle name="Nagłówek 1 2 23 6" xfId="19107"/>
    <cellStyle name="Nagłówek 1 2 23 7" xfId="19108"/>
    <cellStyle name="Nagłówek 1 2 24" xfId="19109"/>
    <cellStyle name="Nagłówek 1 2 24 2" xfId="19110"/>
    <cellStyle name="Nagłówek 1 2 24 3" xfId="19111"/>
    <cellStyle name="Nagłówek 1 2 24 4" xfId="19112"/>
    <cellStyle name="Nagłówek 1 2 24 5" xfId="19113"/>
    <cellStyle name="Nagłówek 1 2 24 6" xfId="19114"/>
    <cellStyle name="Nagłówek 1 2 24 7" xfId="19115"/>
    <cellStyle name="Nagłówek 1 2 25" xfId="19116"/>
    <cellStyle name="Nagłówek 1 2 25 2" xfId="19117"/>
    <cellStyle name="Nagłówek 1 2 25 3" xfId="19118"/>
    <cellStyle name="Nagłówek 1 2 25 4" xfId="19119"/>
    <cellStyle name="Nagłówek 1 2 25 5" xfId="19120"/>
    <cellStyle name="Nagłówek 1 2 25 6" xfId="19121"/>
    <cellStyle name="Nagłówek 1 2 25 7" xfId="19122"/>
    <cellStyle name="Nagłówek 1 2 26" xfId="19123"/>
    <cellStyle name="Nagłówek 1 2 26 2" xfId="19124"/>
    <cellStyle name="Nagłówek 1 2 26 3" xfId="19125"/>
    <cellStyle name="Nagłówek 1 2 26 4" xfId="19126"/>
    <cellStyle name="Nagłówek 1 2 26 5" xfId="19127"/>
    <cellStyle name="Nagłówek 1 2 26 6" xfId="19128"/>
    <cellStyle name="Nagłówek 1 2 26 7" xfId="19129"/>
    <cellStyle name="Nagłówek 1 2 27" xfId="19130"/>
    <cellStyle name="Nagłówek 1 2 27 2" xfId="19131"/>
    <cellStyle name="Nagłówek 1 2 27 3" xfId="19132"/>
    <cellStyle name="Nagłówek 1 2 27 4" xfId="19133"/>
    <cellStyle name="Nagłówek 1 2 27 5" xfId="19134"/>
    <cellStyle name="Nagłówek 1 2 27 6" xfId="19135"/>
    <cellStyle name="Nagłówek 1 2 27 7" xfId="19136"/>
    <cellStyle name="Nagłówek 1 2 28" xfId="19137"/>
    <cellStyle name="Nagłówek 1 2 28 2" xfId="19138"/>
    <cellStyle name="Nagłówek 1 2 28 3" xfId="19139"/>
    <cellStyle name="Nagłówek 1 2 28 4" xfId="19140"/>
    <cellStyle name="Nagłówek 1 2 28 5" xfId="19141"/>
    <cellStyle name="Nagłówek 1 2 28 6" xfId="19142"/>
    <cellStyle name="Nagłówek 1 2 28 7" xfId="19143"/>
    <cellStyle name="Nagłówek 1 2 29" xfId="19144"/>
    <cellStyle name="Nagłówek 1 2 29 2" xfId="19145"/>
    <cellStyle name="Nagłówek 1 2 3" xfId="19146"/>
    <cellStyle name="Nagłówek 1 2 3 2" xfId="19147"/>
    <cellStyle name="Nagłówek 1 2 3 3" xfId="19148"/>
    <cellStyle name="Nagłówek 1 2 3 4" xfId="19149"/>
    <cellStyle name="Nagłówek 1 2 3 5" xfId="19150"/>
    <cellStyle name="Nagłówek 1 2 3 6" xfId="19151"/>
    <cellStyle name="Nagłówek 1 2 3 7" xfId="19152"/>
    <cellStyle name="Nagłówek 1 2 30" xfId="19153"/>
    <cellStyle name="Nagłówek 1 2 30 2" xfId="19154"/>
    <cellStyle name="Nagłówek 1 2 31" xfId="19155"/>
    <cellStyle name="Nagłówek 1 2 31 2" xfId="19156"/>
    <cellStyle name="Nagłówek 1 2 32" xfId="19157"/>
    <cellStyle name="Nagłówek 1 2 32 2" xfId="19158"/>
    <cellStyle name="Nagłówek 1 2 33" xfId="19159"/>
    <cellStyle name="Nagłówek 1 2 34" xfId="19160"/>
    <cellStyle name="Nagłówek 1 2 35" xfId="19161"/>
    <cellStyle name="Nagłówek 1 2 36" xfId="19162"/>
    <cellStyle name="Nagłówek 1 2 37" xfId="19163"/>
    <cellStyle name="Nagłówek 1 2 38" xfId="19164"/>
    <cellStyle name="Nagłówek 1 2 39" xfId="19165"/>
    <cellStyle name="Nagłówek 1 2 4" xfId="19166"/>
    <cellStyle name="Nagłówek 1 2 4 2" xfId="19167"/>
    <cellStyle name="Nagłówek 1 2 4 3" xfId="19168"/>
    <cellStyle name="Nagłówek 1 2 4 4" xfId="19169"/>
    <cellStyle name="Nagłówek 1 2 4 5" xfId="19170"/>
    <cellStyle name="Nagłówek 1 2 4 6" xfId="19171"/>
    <cellStyle name="Nagłówek 1 2 4 7" xfId="19172"/>
    <cellStyle name="Nagłówek 1 2 40" xfId="19173"/>
    <cellStyle name="Nagłówek 1 2 41" xfId="19174"/>
    <cellStyle name="Nagłówek 1 2 42" xfId="19175"/>
    <cellStyle name="Nagłówek 1 2 43" xfId="19176"/>
    <cellStyle name="Nagłówek 1 2 44" xfId="19177"/>
    <cellStyle name="Nagłówek 1 2 45" xfId="19178"/>
    <cellStyle name="Nagłówek 1 2 46" xfId="19179"/>
    <cellStyle name="Nagłówek 1 2 47" xfId="19180"/>
    <cellStyle name="Nagłówek 1 2 48" xfId="19181"/>
    <cellStyle name="Nagłówek 1 2 49" xfId="19182"/>
    <cellStyle name="Nagłówek 1 2 5" xfId="19183"/>
    <cellStyle name="Nagłówek 1 2 5 2" xfId="19184"/>
    <cellStyle name="Nagłówek 1 2 5 3" xfId="19185"/>
    <cellStyle name="Nagłówek 1 2 5 4" xfId="19186"/>
    <cellStyle name="Nagłówek 1 2 5 5" xfId="19187"/>
    <cellStyle name="Nagłówek 1 2 5 6" xfId="19188"/>
    <cellStyle name="Nagłówek 1 2 5 7" xfId="19189"/>
    <cellStyle name="Nagłówek 1 2 50" xfId="19190"/>
    <cellStyle name="Nagłówek 1 2 51" xfId="19191"/>
    <cellStyle name="Nagłówek 1 2 52" xfId="19192"/>
    <cellStyle name="Nagłówek 1 2 53" xfId="19193"/>
    <cellStyle name="Nagłówek 1 2 6" xfId="19194"/>
    <cellStyle name="Nagłówek 1 2 6 2" xfId="19195"/>
    <cellStyle name="Nagłówek 1 2 6 3" xfId="19196"/>
    <cellStyle name="Nagłówek 1 2 6 4" xfId="19197"/>
    <cellStyle name="Nagłówek 1 2 6 5" xfId="19198"/>
    <cellStyle name="Nagłówek 1 2 6 6" xfId="19199"/>
    <cellStyle name="Nagłówek 1 2 6 7" xfId="19200"/>
    <cellStyle name="Nagłówek 1 2 7" xfId="19201"/>
    <cellStyle name="Nagłówek 1 2 7 2" xfId="19202"/>
    <cellStyle name="Nagłówek 1 2 7 3" xfId="19203"/>
    <cellStyle name="Nagłówek 1 2 7 4" xfId="19204"/>
    <cellStyle name="Nagłówek 1 2 7 5" xfId="19205"/>
    <cellStyle name="Nagłówek 1 2 7 6" xfId="19206"/>
    <cellStyle name="Nagłówek 1 2 7 7" xfId="19207"/>
    <cellStyle name="Nagłówek 1 2 8" xfId="19208"/>
    <cellStyle name="Nagłówek 1 2 8 2" xfId="19209"/>
    <cellStyle name="Nagłówek 1 2 8 3" xfId="19210"/>
    <cellStyle name="Nagłówek 1 2 8 4" xfId="19211"/>
    <cellStyle name="Nagłówek 1 2 8 5" xfId="19212"/>
    <cellStyle name="Nagłówek 1 2 8 6" xfId="19213"/>
    <cellStyle name="Nagłówek 1 2 8 7" xfId="19214"/>
    <cellStyle name="Nagłówek 1 2 9" xfId="19215"/>
    <cellStyle name="Nagłówek 1 2 9 2" xfId="19216"/>
    <cellStyle name="Nagłówek 1 2 9 3" xfId="19217"/>
    <cellStyle name="Nagłówek 1 2 9 4" xfId="19218"/>
    <cellStyle name="Nagłówek 1 2 9 5" xfId="19219"/>
    <cellStyle name="Nagłówek 1 2 9 6" xfId="19220"/>
    <cellStyle name="Nagłówek 1 2 9 7" xfId="19221"/>
    <cellStyle name="Nagłówek 1 3" xfId="19222"/>
    <cellStyle name="Nagłówek 1 3 2" xfId="19223"/>
    <cellStyle name="Nagłówek 1 3 2 2" xfId="19224"/>
    <cellStyle name="Nagłówek 1 3 3" xfId="19225"/>
    <cellStyle name="Nagłówek 1 3 4" xfId="19226"/>
    <cellStyle name="Nagłówek 1 3 5" xfId="19227"/>
    <cellStyle name="Nagłówek 1 4" xfId="19228"/>
    <cellStyle name="Nagłówek 1 4 2" xfId="19229"/>
    <cellStyle name="Nagłówek 1 4 3" xfId="19230"/>
    <cellStyle name="Nagłówek 1 4 4" xfId="19231"/>
    <cellStyle name="Nagłówek 1 4 5" xfId="19232"/>
    <cellStyle name="Nagłówek 1 5" xfId="19233"/>
    <cellStyle name="Nagłówek 1 5 2" xfId="19234"/>
    <cellStyle name="Nagłówek 1 5 3" xfId="19235"/>
    <cellStyle name="Nagłówek 1 6" xfId="19236"/>
    <cellStyle name="Nagłówek 1 6 2" xfId="19237"/>
    <cellStyle name="Nagłówek 1 7" xfId="19238"/>
    <cellStyle name="Nagłówek 2 2" xfId="19239"/>
    <cellStyle name="Nagłówek 2 2 10" xfId="19240"/>
    <cellStyle name="Nagłówek 2 2 10 2" xfId="19241"/>
    <cellStyle name="Nagłówek 2 2 10 3" xfId="19242"/>
    <cellStyle name="Nagłówek 2 2 10 4" xfId="19243"/>
    <cellStyle name="Nagłówek 2 2 10 5" xfId="19244"/>
    <cellStyle name="Nagłówek 2 2 10 6" xfId="19245"/>
    <cellStyle name="Nagłówek 2 2 10 7" xfId="19246"/>
    <cellStyle name="Nagłówek 2 2 11" xfId="19247"/>
    <cellStyle name="Nagłówek 2 2 11 2" xfId="19248"/>
    <cellStyle name="Nagłówek 2 2 11 3" xfId="19249"/>
    <cellStyle name="Nagłówek 2 2 11 4" xfId="19250"/>
    <cellStyle name="Nagłówek 2 2 11 5" xfId="19251"/>
    <cellStyle name="Nagłówek 2 2 11 6" xfId="19252"/>
    <cellStyle name="Nagłówek 2 2 11 7" xfId="19253"/>
    <cellStyle name="Nagłówek 2 2 12" xfId="19254"/>
    <cellStyle name="Nagłówek 2 2 12 2" xfId="19255"/>
    <cellStyle name="Nagłówek 2 2 12 3" xfId="19256"/>
    <cellStyle name="Nagłówek 2 2 12 4" xfId="19257"/>
    <cellStyle name="Nagłówek 2 2 12 5" xfId="19258"/>
    <cellStyle name="Nagłówek 2 2 12 6" xfId="19259"/>
    <cellStyle name="Nagłówek 2 2 12 7" xfId="19260"/>
    <cellStyle name="Nagłówek 2 2 13" xfId="19261"/>
    <cellStyle name="Nagłówek 2 2 13 2" xfId="19262"/>
    <cellStyle name="Nagłówek 2 2 13 3" xfId="19263"/>
    <cellStyle name="Nagłówek 2 2 13 4" xfId="19264"/>
    <cellStyle name="Nagłówek 2 2 13 5" xfId="19265"/>
    <cellStyle name="Nagłówek 2 2 13 6" xfId="19266"/>
    <cellStyle name="Nagłówek 2 2 13 7" xfId="19267"/>
    <cellStyle name="Nagłówek 2 2 14" xfId="19268"/>
    <cellStyle name="Nagłówek 2 2 14 2" xfId="19269"/>
    <cellStyle name="Nagłówek 2 2 14 3" xfId="19270"/>
    <cellStyle name="Nagłówek 2 2 14 4" xfId="19271"/>
    <cellStyle name="Nagłówek 2 2 14 5" xfId="19272"/>
    <cellStyle name="Nagłówek 2 2 14 6" xfId="19273"/>
    <cellStyle name="Nagłówek 2 2 14 7" xfId="19274"/>
    <cellStyle name="Nagłówek 2 2 15" xfId="19275"/>
    <cellStyle name="Nagłówek 2 2 15 2" xfId="19276"/>
    <cellStyle name="Nagłówek 2 2 15 3" xfId="19277"/>
    <cellStyle name="Nagłówek 2 2 15 4" xfId="19278"/>
    <cellStyle name="Nagłówek 2 2 15 5" xfId="19279"/>
    <cellStyle name="Nagłówek 2 2 15 6" xfId="19280"/>
    <cellStyle name="Nagłówek 2 2 15 7" xfId="19281"/>
    <cellStyle name="Nagłówek 2 2 16" xfId="19282"/>
    <cellStyle name="Nagłówek 2 2 16 2" xfId="19283"/>
    <cellStyle name="Nagłówek 2 2 16 3" xfId="19284"/>
    <cellStyle name="Nagłówek 2 2 16 4" xfId="19285"/>
    <cellStyle name="Nagłówek 2 2 16 5" xfId="19286"/>
    <cellStyle name="Nagłówek 2 2 16 6" xfId="19287"/>
    <cellStyle name="Nagłówek 2 2 16 7" xfId="19288"/>
    <cellStyle name="Nagłówek 2 2 17" xfId="19289"/>
    <cellStyle name="Nagłówek 2 2 17 2" xfId="19290"/>
    <cellStyle name="Nagłówek 2 2 17 3" xfId="19291"/>
    <cellStyle name="Nagłówek 2 2 17 4" xfId="19292"/>
    <cellStyle name="Nagłówek 2 2 17 5" xfId="19293"/>
    <cellStyle name="Nagłówek 2 2 17 6" xfId="19294"/>
    <cellStyle name="Nagłówek 2 2 17 7" xfId="19295"/>
    <cellStyle name="Nagłówek 2 2 18" xfId="19296"/>
    <cellStyle name="Nagłówek 2 2 18 2" xfId="19297"/>
    <cellStyle name="Nagłówek 2 2 18 3" xfId="19298"/>
    <cellStyle name="Nagłówek 2 2 18 4" xfId="19299"/>
    <cellStyle name="Nagłówek 2 2 18 5" xfId="19300"/>
    <cellStyle name="Nagłówek 2 2 18 6" xfId="19301"/>
    <cellStyle name="Nagłówek 2 2 18 7" xfId="19302"/>
    <cellStyle name="Nagłówek 2 2 19" xfId="19303"/>
    <cellStyle name="Nagłówek 2 2 19 2" xfId="19304"/>
    <cellStyle name="Nagłówek 2 2 19 3" xfId="19305"/>
    <cellStyle name="Nagłówek 2 2 19 4" xfId="19306"/>
    <cellStyle name="Nagłówek 2 2 19 5" xfId="19307"/>
    <cellStyle name="Nagłówek 2 2 19 6" xfId="19308"/>
    <cellStyle name="Nagłówek 2 2 19 7" xfId="19309"/>
    <cellStyle name="Nagłówek 2 2 2" xfId="19310"/>
    <cellStyle name="Nagłówek 2 2 2 2" xfId="19311"/>
    <cellStyle name="Nagłówek 2 2 2 3" xfId="19312"/>
    <cellStyle name="Nagłówek 2 2 2 4" xfId="19313"/>
    <cellStyle name="Nagłówek 2 2 2 5" xfId="19314"/>
    <cellStyle name="Nagłówek 2 2 2 6" xfId="19315"/>
    <cellStyle name="Nagłówek 2 2 2 7" xfId="19316"/>
    <cellStyle name="Nagłówek 2 2 2 8" xfId="19317"/>
    <cellStyle name="Nagłówek 2 2 20" xfId="19318"/>
    <cellStyle name="Nagłówek 2 2 20 2" xfId="19319"/>
    <cellStyle name="Nagłówek 2 2 20 3" xfId="19320"/>
    <cellStyle name="Nagłówek 2 2 20 4" xfId="19321"/>
    <cellStyle name="Nagłówek 2 2 20 5" xfId="19322"/>
    <cellStyle name="Nagłówek 2 2 20 6" xfId="19323"/>
    <cellStyle name="Nagłówek 2 2 20 7" xfId="19324"/>
    <cellStyle name="Nagłówek 2 2 21" xfId="19325"/>
    <cellStyle name="Nagłówek 2 2 21 2" xfId="19326"/>
    <cellStyle name="Nagłówek 2 2 21 3" xfId="19327"/>
    <cellStyle name="Nagłówek 2 2 21 4" xfId="19328"/>
    <cellStyle name="Nagłówek 2 2 21 5" xfId="19329"/>
    <cellStyle name="Nagłówek 2 2 21 6" xfId="19330"/>
    <cellStyle name="Nagłówek 2 2 21 7" xfId="19331"/>
    <cellStyle name="Nagłówek 2 2 22" xfId="19332"/>
    <cellStyle name="Nagłówek 2 2 22 2" xfId="19333"/>
    <cellStyle name="Nagłówek 2 2 22 3" xfId="19334"/>
    <cellStyle name="Nagłówek 2 2 22 4" xfId="19335"/>
    <cellStyle name="Nagłówek 2 2 22 5" xfId="19336"/>
    <cellStyle name="Nagłówek 2 2 22 6" xfId="19337"/>
    <cellStyle name="Nagłówek 2 2 22 7" xfId="19338"/>
    <cellStyle name="Nagłówek 2 2 23" xfId="19339"/>
    <cellStyle name="Nagłówek 2 2 23 2" xfId="19340"/>
    <cellStyle name="Nagłówek 2 2 23 3" xfId="19341"/>
    <cellStyle name="Nagłówek 2 2 23 4" xfId="19342"/>
    <cellStyle name="Nagłówek 2 2 23 5" xfId="19343"/>
    <cellStyle name="Nagłówek 2 2 23 6" xfId="19344"/>
    <cellStyle name="Nagłówek 2 2 23 7" xfId="19345"/>
    <cellStyle name="Nagłówek 2 2 24" xfId="19346"/>
    <cellStyle name="Nagłówek 2 2 24 2" xfId="19347"/>
    <cellStyle name="Nagłówek 2 2 24 3" xfId="19348"/>
    <cellStyle name="Nagłówek 2 2 24 4" xfId="19349"/>
    <cellStyle name="Nagłówek 2 2 24 5" xfId="19350"/>
    <cellStyle name="Nagłówek 2 2 24 6" xfId="19351"/>
    <cellStyle name="Nagłówek 2 2 24 7" xfId="19352"/>
    <cellStyle name="Nagłówek 2 2 25" xfId="19353"/>
    <cellStyle name="Nagłówek 2 2 25 2" xfId="19354"/>
    <cellStyle name="Nagłówek 2 2 25 3" xfId="19355"/>
    <cellStyle name="Nagłówek 2 2 25 4" xfId="19356"/>
    <cellStyle name="Nagłówek 2 2 25 5" xfId="19357"/>
    <cellStyle name="Nagłówek 2 2 25 6" xfId="19358"/>
    <cellStyle name="Nagłówek 2 2 25 7" xfId="19359"/>
    <cellStyle name="Nagłówek 2 2 26" xfId="19360"/>
    <cellStyle name="Nagłówek 2 2 26 2" xfId="19361"/>
    <cellStyle name="Nagłówek 2 2 26 3" xfId="19362"/>
    <cellStyle name="Nagłówek 2 2 26 4" xfId="19363"/>
    <cellStyle name="Nagłówek 2 2 26 5" xfId="19364"/>
    <cellStyle name="Nagłówek 2 2 26 6" xfId="19365"/>
    <cellStyle name="Nagłówek 2 2 26 7" xfId="19366"/>
    <cellStyle name="Nagłówek 2 2 27" xfId="19367"/>
    <cellStyle name="Nagłówek 2 2 27 2" xfId="19368"/>
    <cellStyle name="Nagłówek 2 2 27 3" xfId="19369"/>
    <cellStyle name="Nagłówek 2 2 27 4" xfId="19370"/>
    <cellStyle name="Nagłówek 2 2 27 5" xfId="19371"/>
    <cellStyle name="Nagłówek 2 2 27 6" xfId="19372"/>
    <cellStyle name="Nagłówek 2 2 27 7" xfId="19373"/>
    <cellStyle name="Nagłówek 2 2 28" xfId="19374"/>
    <cellStyle name="Nagłówek 2 2 28 2" xfId="19375"/>
    <cellStyle name="Nagłówek 2 2 28 3" xfId="19376"/>
    <cellStyle name="Nagłówek 2 2 28 4" xfId="19377"/>
    <cellStyle name="Nagłówek 2 2 28 5" xfId="19378"/>
    <cellStyle name="Nagłówek 2 2 28 6" xfId="19379"/>
    <cellStyle name="Nagłówek 2 2 28 7" xfId="19380"/>
    <cellStyle name="Nagłówek 2 2 29" xfId="19381"/>
    <cellStyle name="Nagłówek 2 2 29 2" xfId="19382"/>
    <cellStyle name="Nagłówek 2 2 3" xfId="19383"/>
    <cellStyle name="Nagłówek 2 2 3 2" xfId="19384"/>
    <cellStyle name="Nagłówek 2 2 3 3" xfId="19385"/>
    <cellStyle name="Nagłówek 2 2 3 4" xfId="19386"/>
    <cellStyle name="Nagłówek 2 2 3 5" xfId="19387"/>
    <cellStyle name="Nagłówek 2 2 3 6" xfId="19388"/>
    <cellStyle name="Nagłówek 2 2 3 7" xfId="19389"/>
    <cellStyle name="Nagłówek 2 2 30" xfId="19390"/>
    <cellStyle name="Nagłówek 2 2 30 2" xfId="19391"/>
    <cellStyle name="Nagłówek 2 2 31" xfId="19392"/>
    <cellStyle name="Nagłówek 2 2 31 2" xfId="19393"/>
    <cellStyle name="Nagłówek 2 2 32" xfId="19394"/>
    <cellStyle name="Nagłówek 2 2 32 2" xfId="19395"/>
    <cellStyle name="Nagłówek 2 2 33" xfId="19396"/>
    <cellStyle name="Nagłówek 2 2 34" xfId="19397"/>
    <cellStyle name="Nagłówek 2 2 35" xfId="19398"/>
    <cellStyle name="Nagłówek 2 2 36" xfId="19399"/>
    <cellStyle name="Nagłówek 2 2 37" xfId="19400"/>
    <cellStyle name="Nagłówek 2 2 38" xfId="19401"/>
    <cellStyle name="Nagłówek 2 2 39" xfId="19402"/>
    <cellStyle name="Nagłówek 2 2 4" xfId="19403"/>
    <cellStyle name="Nagłówek 2 2 4 2" xfId="19404"/>
    <cellStyle name="Nagłówek 2 2 4 3" xfId="19405"/>
    <cellStyle name="Nagłówek 2 2 4 4" xfId="19406"/>
    <cellStyle name="Nagłówek 2 2 4 5" xfId="19407"/>
    <cellStyle name="Nagłówek 2 2 4 6" xfId="19408"/>
    <cellStyle name="Nagłówek 2 2 4 7" xfId="19409"/>
    <cellStyle name="Nagłówek 2 2 40" xfId="19410"/>
    <cellStyle name="Nagłówek 2 2 41" xfId="19411"/>
    <cellStyle name="Nagłówek 2 2 42" xfId="19412"/>
    <cellStyle name="Nagłówek 2 2 43" xfId="19413"/>
    <cellStyle name="Nagłówek 2 2 44" xfId="19414"/>
    <cellStyle name="Nagłówek 2 2 45" xfId="19415"/>
    <cellStyle name="Nagłówek 2 2 46" xfId="19416"/>
    <cellStyle name="Nagłówek 2 2 47" xfId="19417"/>
    <cellStyle name="Nagłówek 2 2 48" xfId="19418"/>
    <cellStyle name="Nagłówek 2 2 49" xfId="19419"/>
    <cellStyle name="Nagłówek 2 2 5" xfId="19420"/>
    <cellStyle name="Nagłówek 2 2 5 2" xfId="19421"/>
    <cellStyle name="Nagłówek 2 2 5 3" xfId="19422"/>
    <cellStyle name="Nagłówek 2 2 5 4" xfId="19423"/>
    <cellStyle name="Nagłówek 2 2 5 5" xfId="19424"/>
    <cellStyle name="Nagłówek 2 2 5 6" xfId="19425"/>
    <cellStyle name="Nagłówek 2 2 5 7" xfId="19426"/>
    <cellStyle name="Nagłówek 2 2 50" xfId="19427"/>
    <cellStyle name="Nagłówek 2 2 51" xfId="19428"/>
    <cellStyle name="Nagłówek 2 2 52" xfId="19429"/>
    <cellStyle name="Nagłówek 2 2 53" xfId="19430"/>
    <cellStyle name="Nagłówek 2 2 6" xfId="19431"/>
    <cellStyle name="Nagłówek 2 2 6 2" xfId="19432"/>
    <cellStyle name="Nagłówek 2 2 6 3" xfId="19433"/>
    <cellStyle name="Nagłówek 2 2 6 4" xfId="19434"/>
    <cellStyle name="Nagłówek 2 2 6 5" xfId="19435"/>
    <cellStyle name="Nagłówek 2 2 6 6" xfId="19436"/>
    <cellStyle name="Nagłówek 2 2 6 7" xfId="19437"/>
    <cellStyle name="Nagłówek 2 2 7" xfId="19438"/>
    <cellStyle name="Nagłówek 2 2 7 2" xfId="19439"/>
    <cellStyle name="Nagłówek 2 2 7 3" xfId="19440"/>
    <cellStyle name="Nagłówek 2 2 7 4" xfId="19441"/>
    <cellStyle name="Nagłówek 2 2 7 5" xfId="19442"/>
    <cellStyle name="Nagłówek 2 2 7 6" xfId="19443"/>
    <cellStyle name="Nagłówek 2 2 7 7" xfId="19444"/>
    <cellStyle name="Nagłówek 2 2 8" xfId="19445"/>
    <cellStyle name="Nagłówek 2 2 8 2" xfId="19446"/>
    <cellStyle name="Nagłówek 2 2 8 3" xfId="19447"/>
    <cellStyle name="Nagłówek 2 2 8 4" xfId="19448"/>
    <cellStyle name="Nagłówek 2 2 8 5" xfId="19449"/>
    <cellStyle name="Nagłówek 2 2 8 6" xfId="19450"/>
    <cellStyle name="Nagłówek 2 2 8 7" xfId="19451"/>
    <cellStyle name="Nagłówek 2 2 9" xfId="19452"/>
    <cellStyle name="Nagłówek 2 2 9 2" xfId="19453"/>
    <cellStyle name="Nagłówek 2 2 9 3" xfId="19454"/>
    <cellStyle name="Nagłówek 2 2 9 4" xfId="19455"/>
    <cellStyle name="Nagłówek 2 2 9 5" xfId="19456"/>
    <cellStyle name="Nagłówek 2 2 9 6" xfId="19457"/>
    <cellStyle name="Nagłówek 2 2 9 7" xfId="19458"/>
    <cellStyle name="Nagłówek 2 3" xfId="19459"/>
    <cellStyle name="Nagłówek 2 3 2" xfId="19460"/>
    <cellStyle name="Nagłówek 2 3 2 2" xfId="19461"/>
    <cellStyle name="Nagłówek 2 3 3" xfId="19462"/>
    <cellStyle name="Nagłówek 2 3 4" xfId="19463"/>
    <cellStyle name="Nagłówek 2 3 5" xfId="19464"/>
    <cellStyle name="Nagłówek 2 4" xfId="19465"/>
    <cellStyle name="Nagłówek 2 4 2" xfId="19466"/>
    <cellStyle name="Nagłówek 2 4 3" xfId="19467"/>
    <cellStyle name="Nagłówek 2 4 4" xfId="19468"/>
    <cellStyle name="Nagłówek 2 4 5" xfId="19469"/>
    <cellStyle name="Nagłówek 2 5" xfId="19470"/>
    <cellStyle name="Nagłówek 2 5 2" xfId="19471"/>
    <cellStyle name="Nagłówek 2 5 3" xfId="19472"/>
    <cellStyle name="Nagłówek 2 6" xfId="19473"/>
    <cellStyle name="Nagłówek 2 6 2" xfId="19474"/>
    <cellStyle name="Nagłówek 2 7" xfId="19475"/>
    <cellStyle name="Nagłówek 3 2" xfId="19476"/>
    <cellStyle name="Nagłówek 3 2 10" xfId="19477"/>
    <cellStyle name="Nagłówek 3 2 10 2" xfId="19478"/>
    <cellStyle name="Nagłówek 3 2 10 3" xfId="19479"/>
    <cellStyle name="Nagłówek 3 2 10 4" xfId="19480"/>
    <cellStyle name="Nagłówek 3 2 10 5" xfId="19481"/>
    <cellStyle name="Nagłówek 3 2 10 6" xfId="19482"/>
    <cellStyle name="Nagłówek 3 2 10 7" xfId="19483"/>
    <cellStyle name="Nagłówek 3 2 11" xfId="19484"/>
    <cellStyle name="Nagłówek 3 2 11 2" xfId="19485"/>
    <cellStyle name="Nagłówek 3 2 11 3" xfId="19486"/>
    <cellStyle name="Nagłówek 3 2 11 4" xfId="19487"/>
    <cellStyle name="Nagłówek 3 2 11 5" xfId="19488"/>
    <cellStyle name="Nagłówek 3 2 11 6" xfId="19489"/>
    <cellStyle name="Nagłówek 3 2 11 7" xfId="19490"/>
    <cellStyle name="Nagłówek 3 2 12" xfId="19491"/>
    <cellStyle name="Nagłówek 3 2 12 2" xfId="19492"/>
    <cellStyle name="Nagłówek 3 2 12 3" xfId="19493"/>
    <cellStyle name="Nagłówek 3 2 12 4" xfId="19494"/>
    <cellStyle name="Nagłówek 3 2 12 5" xfId="19495"/>
    <cellStyle name="Nagłówek 3 2 12 6" xfId="19496"/>
    <cellStyle name="Nagłówek 3 2 12 7" xfId="19497"/>
    <cellStyle name="Nagłówek 3 2 13" xfId="19498"/>
    <cellStyle name="Nagłówek 3 2 13 2" xfId="19499"/>
    <cellStyle name="Nagłówek 3 2 13 3" xfId="19500"/>
    <cellStyle name="Nagłówek 3 2 13 4" xfId="19501"/>
    <cellStyle name="Nagłówek 3 2 13 5" xfId="19502"/>
    <cellStyle name="Nagłówek 3 2 13 6" xfId="19503"/>
    <cellStyle name="Nagłówek 3 2 13 7" xfId="19504"/>
    <cellStyle name="Nagłówek 3 2 14" xfId="19505"/>
    <cellStyle name="Nagłówek 3 2 14 2" xfId="19506"/>
    <cellStyle name="Nagłówek 3 2 14 3" xfId="19507"/>
    <cellStyle name="Nagłówek 3 2 14 4" xfId="19508"/>
    <cellStyle name="Nagłówek 3 2 14 5" xfId="19509"/>
    <cellStyle name="Nagłówek 3 2 14 6" xfId="19510"/>
    <cellStyle name="Nagłówek 3 2 14 7" xfId="19511"/>
    <cellStyle name="Nagłówek 3 2 15" xfId="19512"/>
    <cellStyle name="Nagłówek 3 2 15 2" xfId="19513"/>
    <cellStyle name="Nagłówek 3 2 15 3" xfId="19514"/>
    <cellStyle name="Nagłówek 3 2 15 4" xfId="19515"/>
    <cellStyle name="Nagłówek 3 2 15 5" xfId="19516"/>
    <cellStyle name="Nagłówek 3 2 15 6" xfId="19517"/>
    <cellStyle name="Nagłówek 3 2 15 7" xfId="19518"/>
    <cellStyle name="Nagłówek 3 2 16" xfId="19519"/>
    <cellStyle name="Nagłówek 3 2 16 2" xfId="19520"/>
    <cellStyle name="Nagłówek 3 2 16 3" xfId="19521"/>
    <cellStyle name="Nagłówek 3 2 16 4" xfId="19522"/>
    <cellStyle name="Nagłówek 3 2 16 5" xfId="19523"/>
    <cellStyle name="Nagłówek 3 2 16 6" xfId="19524"/>
    <cellStyle name="Nagłówek 3 2 16 7" xfId="19525"/>
    <cellStyle name="Nagłówek 3 2 17" xfId="19526"/>
    <cellStyle name="Nagłówek 3 2 17 2" xfId="19527"/>
    <cellStyle name="Nagłówek 3 2 17 3" xfId="19528"/>
    <cellStyle name="Nagłówek 3 2 17 4" xfId="19529"/>
    <cellStyle name="Nagłówek 3 2 17 5" xfId="19530"/>
    <cellStyle name="Nagłówek 3 2 17 6" xfId="19531"/>
    <cellStyle name="Nagłówek 3 2 17 7" xfId="19532"/>
    <cellStyle name="Nagłówek 3 2 18" xfId="19533"/>
    <cellStyle name="Nagłówek 3 2 18 2" xfId="19534"/>
    <cellStyle name="Nagłówek 3 2 18 3" xfId="19535"/>
    <cellStyle name="Nagłówek 3 2 18 4" xfId="19536"/>
    <cellStyle name="Nagłówek 3 2 18 5" xfId="19537"/>
    <cellStyle name="Nagłówek 3 2 18 6" xfId="19538"/>
    <cellStyle name="Nagłówek 3 2 18 7" xfId="19539"/>
    <cellStyle name="Nagłówek 3 2 19" xfId="19540"/>
    <cellStyle name="Nagłówek 3 2 19 2" xfId="19541"/>
    <cellStyle name="Nagłówek 3 2 19 3" xfId="19542"/>
    <cellStyle name="Nagłówek 3 2 19 4" xfId="19543"/>
    <cellStyle name="Nagłówek 3 2 19 5" xfId="19544"/>
    <cellStyle name="Nagłówek 3 2 19 6" xfId="19545"/>
    <cellStyle name="Nagłówek 3 2 19 7" xfId="19546"/>
    <cellStyle name="Nagłówek 3 2 2" xfId="19547"/>
    <cellStyle name="Nagłówek 3 2 2 2" xfId="19548"/>
    <cellStyle name="Nagłówek 3 2 2 3" xfId="19549"/>
    <cellStyle name="Nagłówek 3 2 2 4" xfId="19550"/>
    <cellStyle name="Nagłówek 3 2 2 5" xfId="19551"/>
    <cellStyle name="Nagłówek 3 2 2 6" xfId="19552"/>
    <cellStyle name="Nagłówek 3 2 2 7" xfId="19553"/>
    <cellStyle name="Nagłówek 3 2 2 8" xfId="19554"/>
    <cellStyle name="Nagłówek 3 2 20" xfId="19555"/>
    <cellStyle name="Nagłówek 3 2 20 2" xfId="19556"/>
    <cellStyle name="Nagłówek 3 2 20 3" xfId="19557"/>
    <cellStyle name="Nagłówek 3 2 20 4" xfId="19558"/>
    <cellStyle name="Nagłówek 3 2 20 5" xfId="19559"/>
    <cellStyle name="Nagłówek 3 2 20 6" xfId="19560"/>
    <cellStyle name="Nagłówek 3 2 20 7" xfId="19561"/>
    <cellStyle name="Nagłówek 3 2 21" xfId="19562"/>
    <cellStyle name="Nagłówek 3 2 21 2" xfId="19563"/>
    <cellStyle name="Nagłówek 3 2 21 3" xfId="19564"/>
    <cellStyle name="Nagłówek 3 2 21 4" xfId="19565"/>
    <cellStyle name="Nagłówek 3 2 21 5" xfId="19566"/>
    <cellStyle name="Nagłówek 3 2 21 6" xfId="19567"/>
    <cellStyle name="Nagłówek 3 2 21 7" xfId="19568"/>
    <cellStyle name="Nagłówek 3 2 22" xfId="19569"/>
    <cellStyle name="Nagłówek 3 2 22 2" xfId="19570"/>
    <cellStyle name="Nagłówek 3 2 22 3" xfId="19571"/>
    <cellStyle name="Nagłówek 3 2 22 4" xfId="19572"/>
    <cellStyle name="Nagłówek 3 2 22 5" xfId="19573"/>
    <cellStyle name="Nagłówek 3 2 22 6" xfId="19574"/>
    <cellStyle name="Nagłówek 3 2 22 7" xfId="19575"/>
    <cellStyle name="Nagłówek 3 2 23" xfId="19576"/>
    <cellStyle name="Nagłówek 3 2 23 2" xfId="19577"/>
    <cellStyle name="Nagłówek 3 2 23 3" xfId="19578"/>
    <cellStyle name="Nagłówek 3 2 23 4" xfId="19579"/>
    <cellStyle name="Nagłówek 3 2 23 5" xfId="19580"/>
    <cellStyle name="Nagłówek 3 2 23 6" xfId="19581"/>
    <cellStyle name="Nagłówek 3 2 23 7" xfId="19582"/>
    <cellStyle name="Nagłówek 3 2 24" xfId="19583"/>
    <cellStyle name="Nagłówek 3 2 24 2" xfId="19584"/>
    <cellStyle name="Nagłówek 3 2 24 3" xfId="19585"/>
    <cellStyle name="Nagłówek 3 2 24 4" xfId="19586"/>
    <cellStyle name="Nagłówek 3 2 24 5" xfId="19587"/>
    <cellStyle name="Nagłówek 3 2 24 6" xfId="19588"/>
    <cellStyle name="Nagłówek 3 2 24 7" xfId="19589"/>
    <cellStyle name="Nagłówek 3 2 25" xfId="19590"/>
    <cellStyle name="Nagłówek 3 2 25 2" xfId="19591"/>
    <cellStyle name="Nagłówek 3 2 25 3" xfId="19592"/>
    <cellStyle name="Nagłówek 3 2 25 4" xfId="19593"/>
    <cellStyle name="Nagłówek 3 2 25 5" xfId="19594"/>
    <cellStyle name="Nagłówek 3 2 25 6" xfId="19595"/>
    <cellStyle name="Nagłówek 3 2 25 7" xfId="19596"/>
    <cellStyle name="Nagłówek 3 2 26" xfId="19597"/>
    <cellStyle name="Nagłówek 3 2 26 2" xfId="19598"/>
    <cellStyle name="Nagłówek 3 2 26 3" xfId="19599"/>
    <cellStyle name="Nagłówek 3 2 26 4" xfId="19600"/>
    <cellStyle name="Nagłówek 3 2 26 5" xfId="19601"/>
    <cellStyle name="Nagłówek 3 2 26 6" xfId="19602"/>
    <cellStyle name="Nagłówek 3 2 26 7" xfId="19603"/>
    <cellStyle name="Nagłówek 3 2 27" xfId="19604"/>
    <cellStyle name="Nagłówek 3 2 27 2" xfId="19605"/>
    <cellStyle name="Nagłówek 3 2 27 3" xfId="19606"/>
    <cellStyle name="Nagłówek 3 2 27 4" xfId="19607"/>
    <cellStyle name="Nagłówek 3 2 27 5" xfId="19608"/>
    <cellStyle name="Nagłówek 3 2 27 6" xfId="19609"/>
    <cellStyle name="Nagłówek 3 2 27 7" xfId="19610"/>
    <cellStyle name="Nagłówek 3 2 28" xfId="19611"/>
    <cellStyle name="Nagłówek 3 2 28 2" xfId="19612"/>
    <cellStyle name="Nagłówek 3 2 28 3" xfId="19613"/>
    <cellStyle name="Nagłówek 3 2 28 4" xfId="19614"/>
    <cellStyle name="Nagłówek 3 2 28 5" xfId="19615"/>
    <cellStyle name="Nagłówek 3 2 28 6" xfId="19616"/>
    <cellStyle name="Nagłówek 3 2 28 7" xfId="19617"/>
    <cellStyle name="Nagłówek 3 2 29" xfId="19618"/>
    <cellStyle name="Nagłówek 3 2 29 2" xfId="19619"/>
    <cellStyle name="Nagłówek 3 2 3" xfId="19620"/>
    <cellStyle name="Nagłówek 3 2 3 2" xfId="19621"/>
    <cellStyle name="Nagłówek 3 2 3 3" xfId="19622"/>
    <cellStyle name="Nagłówek 3 2 3 4" xfId="19623"/>
    <cellStyle name="Nagłówek 3 2 3 5" xfId="19624"/>
    <cellStyle name="Nagłówek 3 2 3 6" xfId="19625"/>
    <cellStyle name="Nagłówek 3 2 3 7" xfId="19626"/>
    <cellStyle name="Nagłówek 3 2 30" xfId="19627"/>
    <cellStyle name="Nagłówek 3 2 30 2" xfId="19628"/>
    <cellStyle name="Nagłówek 3 2 31" xfId="19629"/>
    <cellStyle name="Nagłówek 3 2 31 2" xfId="19630"/>
    <cellStyle name="Nagłówek 3 2 32" xfId="19631"/>
    <cellStyle name="Nagłówek 3 2 32 2" xfId="19632"/>
    <cellStyle name="Nagłówek 3 2 33" xfId="19633"/>
    <cellStyle name="Nagłówek 3 2 34" xfId="19634"/>
    <cellStyle name="Nagłówek 3 2 35" xfId="19635"/>
    <cellStyle name="Nagłówek 3 2 36" xfId="19636"/>
    <cellStyle name="Nagłówek 3 2 37" xfId="19637"/>
    <cellStyle name="Nagłówek 3 2 38" xfId="19638"/>
    <cellStyle name="Nagłówek 3 2 39" xfId="19639"/>
    <cellStyle name="Nagłówek 3 2 4" xfId="19640"/>
    <cellStyle name="Nagłówek 3 2 4 2" xfId="19641"/>
    <cellStyle name="Nagłówek 3 2 4 3" xfId="19642"/>
    <cellStyle name="Nagłówek 3 2 4 4" xfId="19643"/>
    <cellStyle name="Nagłówek 3 2 4 5" xfId="19644"/>
    <cellStyle name="Nagłówek 3 2 4 6" xfId="19645"/>
    <cellStyle name="Nagłówek 3 2 4 7" xfId="19646"/>
    <cellStyle name="Nagłówek 3 2 40" xfId="19647"/>
    <cellStyle name="Nagłówek 3 2 41" xfId="19648"/>
    <cellStyle name="Nagłówek 3 2 42" xfId="19649"/>
    <cellStyle name="Nagłówek 3 2 43" xfId="19650"/>
    <cellStyle name="Nagłówek 3 2 44" xfId="19651"/>
    <cellStyle name="Nagłówek 3 2 45" xfId="19652"/>
    <cellStyle name="Nagłówek 3 2 46" xfId="19653"/>
    <cellStyle name="Nagłówek 3 2 47" xfId="19654"/>
    <cellStyle name="Nagłówek 3 2 48" xfId="19655"/>
    <cellStyle name="Nagłówek 3 2 49" xfId="19656"/>
    <cellStyle name="Nagłówek 3 2 5" xfId="19657"/>
    <cellStyle name="Nagłówek 3 2 5 2" xfId="19658"/>
    <cellStyle name="Nagłówek 3 2 5 3" xfId="19659"/>
    <cellStyle name="Nagłówek 3 2 5 4" xfId="19660"/>
    <cellStyle name="Nagłówek 3 2 5 5" xfId="19661"/>
    <cellStyle name="Nagłówek 3 2 5 6" xfId="19662"/>
    <cellStyle name="Nagłówek 3 2 5 7" xfId="19663"/>
    <cellStyle name="Nagłówek 3 2 50" xfId="19664"/>
    <cellStyle name="Nagłówek 3 2 51" xfId="19665"/>
    <cellStyle name="Nagłówek 3 2 52" xfId="19666"/>
    <cellStyle name="Nagłówek 3 2 53" xfId="19667"/>
    <cellStyle name="Nagłówek 3 2 6" xfId="19668"/>
    <cellStyle name="Nagłówek 3 2 6 2" xfId="19669"/>
    <cellStyle name="Nagłówek 3 2 6 3" xfId="19670"/>
    <cellStyle name="Nagłówek 3 2 6 4" xfId="19671"/>
    <cellStyle name="Nagłówek 3 2 6 5" xfId="19672"/>
    <cellStyle name="Nagłówek 3 2 6 6" xfId="19673"/>
    <cellStyle name="Nagłówek 3 2 6 7" xfId="19674"/>
    <cellStyle name="Nagłówek 3 2 7" xfId="19675"/>
    <cellStyle name="Nagłówek 3 2 7 2" xfId="19676"/>
    <cellStyle name="Nagłówek 3 2 7 3" xfId="19677"/>
    <cellStyle name="Nagłówek 3 2 7 4" xfId="19678"/>
    <cellStyle name="Nagłówek 3 2 7 5" xfId="19679"/>
    <cellStyle name="Nagłówek 3 2 7 6" xfId="19680"/>
    <cellStyle name="Nagłówek 3 2 7 7" xfId="19681"/>
    <cellStyle name="Nagłówek 3 2 8" xfId="19682"/>
    <cellStyle name="Nagłówek 3 2 8 2" xfId="19683"/>
    <cellStyle name="Nagłówek 3 2 8 3" xfId="19684"/>
    <cellStyle name="Nagłówek 3 2 8 4" xfId="19685"/>
    <cellStyle name="Nagłówek 3 2 8 5" xfId="19686"/>
    <cellStyle name="Nagłówek 3 2 8 6" xfId="19687"/>
    <cellStyle name="Nagłówek 3 2 8 7" xfId="19688"/>
    <cellStyle name="Nagłówek 3 2 9" xfId="19689"/>
    <cellStyle name="Nagłówek 3 2 9 2" xfId="19690"/>
    <cellStyle name="Nagłówek 3 2 9 3" xfId="19691"/>
    <cellStyle name="Nagłówek 3 2 9 4" xfId="19692"/>
    <cellStyle name="Nagłówek 3 2 9 5" xfId="19693"/>
    <cellStyle name="Nagłówek 3 2 9 6" xfId="19694"/>
    <cellStyle name="Nagłówek 3 2 9 7" xfId="19695"/>
    <cellStyle name="Nagłówek 3 3" xfId="19696"/>
    <cellStyle name="Nagłówek 3 3 2" xfId="19697"/>
    <cellStyle name="Nagłówek 3 3 2 2" xfId="19698"/>
    <cellStyle name="Nagłówek 3 3 3" xfId="19699"/>
    <cellStyle name="Nagłówek 3 3 4" xfId="19700"/>
    <cellStyle name="Nagłówek 3 3 5" xfId="19701"/>
    <cellStyle name="Nagłówek 3 4" xfId="19702"/>
    <cellStyle name="Nagłówek 3 4 2" xfId="19703"/>
    <cellStyle name="Nagłówek 3 4 3" xfId="19704"/>
    <cellStyle name="Nagłówek 3 4 4" xfId="19705"/>
    <cellStyle name="Nagłówek 3 4 5" xfId="19706"/>
    <cellStyle name="Nagłówek 3 5" xfId="19707"/>
    <cellStyle name="Nagłówek 3 5 2" xfId="19708"/>
    <cellStyle name="Nagłówek 3 5 3" xfId="19709"/>
    <cellStyle name="Nagłówek 3 6" xfId="19710"/>
    <cellStyle name="Nagłówek 3 6 2" xfId="19711"/>
    <cellStyle name="Nagłówek 3 7" xfId="19712"/>
    <cellStyle name="Nagłówek 4 2" xfId="19713"/>
    <cellStyle name="Nagłówek 4 2 10" xfId="19714"/>
    <cellStyle name="Nagłówek 4 2 10 2" xfId="19715"/>
    <cellStyle name="Nagłówek 4 2 10 3" xfId="19716"/>
    <cellStyle name="Nagłówek 4 2 10 4" xfId="19717"/>
    <cellStyle name="Nagłówek 4 2 10 5" xfId="19718"/>
    <cellStyle name="Nagłówek 4 2 10 6" xfId="19719"/>
    <cellStyle name="Nagłówek 4 2 10 7" xfId="19720"/>
    <cellStyle name="Nagłówek 4 2 11" xfId="19721"/>
    <cellStyle name="Nagłówek 4 2 11 2" xfId="19722"/>
    <cellStyle name="Nagłówek 4 2 11 3" xfId="19723"/>
    <cellStyle name="Nagłówek 4 2 11 4" xfId="19724"/>
    <cellStyle name="Nagłówek 4 2 11 5" xfId="19725"/>
    <cellStyle name="Nagłówek 4 2 11 6" xfId="19726"/>
    <cellStyle name="Nagłówek 4 2 11 7" xfId="19727"/>
    <cellStyle name="Nagłówek 4 2 12" xfId="19728"/>
    <cellStyle name="Nagłówek 4 2 12 2" xfId="19729"/>
    <cellStyle name="Nagłówek 4 2 12 3" xfId="19730"/>
    <cellStyle name="Nagłówek 4 2 12 4" xfId="19731"/>
    <cellStyle name="Nagłówek 4 2 12 5" xfId="19732"/>
    <cellStyle name="Nagłówek 4 2 12 6" xfId="19733"/>
    <cellStyle name="Nagłówek 4 2 12 7" xfId="19734"/>
    <cellStyle name="Nagłówek 4 2 13" xfId="19735"/>
    <cellStyle name="Nagłówek 4 2 13 2" xfId="19736"/>
    <cellStyle name="Nagłówek 4 2 13 3" xfId="19737"/>
    <cellStyle name="Nagłówek 4 2 13 4" xfId="19738"/>
    <cellStyle name="Nagłówek 4 2 13 5" xfId="19739"/>
    <cellStyle name="Nagłówek 4 2 13 6" xfId="19740"/>
    <cellStyle name="Nagłówek 4 2 13 7" xfId="19741"/>
    <cellStyle name="Nagłówek 4 2 14" xfId="19742"/>
    <cellStyle name="Nagłówek 4 2 14 2" xfId="19743"/>
    <cellStyle name="Nagłówek 4 2 14 3" xfId="19744"/>
    <cellStyle name="Nagłówek 4 2 14 4" xfId="19745"/>
    <cellStyle name="Nagłówek 4 2 14 5" xfId="19746"/>
    <cellStyle name="Nagłówek 4 2 14 6" xfId="19747"/>
    <cellStyle name="Nagłówek 4 2 14 7" xfId="19748"/>
    <cellStyle name="Nagłówek 4 2 15" xfId="19749"/>
    <cellStyle name="Nagłówek 4 2 15 2" xfId="19750"/>
    <cellStyle name="Nagłówek 4 2 15 3" xfId="19751"/>
    <cellStyle name="Nagłówek 4 2 15 4" xfId="19752"/>
    <cellStyle name="Nagłówek 4 2 15 5" xfId="19753"/>
    <cellStyle name="Nagłówek 4 2 15 6" xfId="19754"/>
    <cellStyle name="Nagłówek 4 2 15 7" xfId="19755"/>
    <cellStyle name="Nagłówek 4 2 16" xfId="19756"/>
    <cellStyle name="Nagłówek 4 2 16 2" xfId="19757"/>
    <cellStyle name="Nagłówek 4 2 16 3" xfId="19758"/>
    <cellStyle name="Nagłówek 4 2 16 4" xfId="19759"/>
    <cellStyle name="Nagłówek 4 2 16 5" xfId="19760"/>
    <cellStyle name="Nagłówek 4 2 16 6" xfId="19761"/>
    <cellStyle name="Nagłówek 4 2 16 7" xfId="19762"/>
    <cellStyle name="Nagłówek 4 2 17" xfId="19763"/>
    <cellStyle name="Nagłówek 4 2 17 2" xfId="19764"/>
    <cellStyle name="Nagłówek 4 2 17 3" xfId="19765"/>
    <cellStyle name="Nagłówek 4 2 17 4" xfId="19766"/>
    <cellStyle name="Nagłówek 4 2 17 5" xfId="19767"/>
    <cellStyle name="Nagłówek 4 2 17 6" xfId="19768"/>
    <cellStyle name="Nagłówek 4 2 17 7" xfId="19769"/>
    <cellStyle name="Nagłówek 4 2 18" xfId="19770"/>
    <cellStyle name="Nagłówek 4 2 18 2" xfId="19771"/>
    <cellStyle name="Nagłówek 4 2 18 3" xfId="19772"/>
    <cellStyle name="Nagłówek 4 2 18 4" xfId="19773"/>
    <cellStyle name="Nagłówek 4 2 18 5" xfId="19774"/>
    <cellStyle name="Nagłówek 4 2 18 6" xfId="19775"/>
    <cellStyle name="Nagłówek 4 2 18 7" xfId="19776"/>
    <cellStyle name="Nagłówek 4 2 19" xfId="19777"/>
    <cellStyle name="Nagłówek 4 2 19 2" xfId="19778"/>
    <cellStyle name="Nagłówek 4 2 19 3" xfId="19779"/>
    <cellStyle name="Nagłówek 4 2 19 4" xfId="19780"/>
    <cellStyle name="Nagłówek 4 2 19 5" xfId="19781"/>
    <cellStyle name="Nagłówek 4 2 19 6" xfId="19782"/>
    <cellStyle name="Nagłówek 4 2 19 7" xfId="19783"/>
    <cellStyle name="Nagłówek 4 2 2" xfId="19784"/>
    <cellStyle name="Nagłówek 4 2 2 2" xfId="19785"/>
    <cellStyle name="Nagłówek 4 2 2 3" xfId="19786"/>
    <cellStyle name="Nagłówek 4 2 2 4" xfId="19787"/>
    <cellStyle name="Nagłówek 4 2 2 5" xfId="19788"/>
    <cellStyle name="Nagłówek 4 2 2 6" xfId="19789"/>
    <cellStyle name="Nagłówek 4 2 2 7" xfId="19790"/>
    <cellStyle name="Nagłówek 4 2 2 8" xfId="19791"/>
    <cellStyle name="Nagłówek 4 2 20" xfId="19792"/>
    <cellStyle name="Nagłówek 4 2 20 2" xfId="19793"/>
    <cellStyle name="Nagłówek 4 2 20 3" xfId="19794"/>
    <cellStyle name="Nagłówek 4 2 20 4" xfId="19795"/>
    <cellStyle name="Nagłówek 4 2 20 5" xfId="19796"/>
    <cellStyle name="Nagłówek 4 2 20 6" xfId="19797"/>
    <cellStyle name="Nagłówek 4 2 20 7" xfId="19798"/>
    <cellStyle name="Nagłówek 4 2 21" xfId="19799"/>
    <cellStyle name="Nagłówek 4 2 21 2" xfId="19800"/>
    <cellStyle name="Nagłówek 4 2 21 3" xfId="19801"/>
    <cellStyle name="Nagłówek 4 2 21 4" xfId="19802"/>
    <cellStyle name="Nagłówek 4 2 21 5" xfId="19803"/>
    <cellStyle name="Nagłówek 4 2 21 6" xfId="19804"/>
    <cellStyle name="Nagłówek 4 2 21 7" xfId="19805"/>
    <cellStyle name="Nagłówek 4 2 22" xfId="19806"/>
    <cellStyle name="Nagłówek 4 2 22 2" xfId="19807"/>
    <cellStyle name="Nagłówek 4 2 22 3" xfId="19808"/>
    <cellStyle name="Nagłówek 4 2 22 4" xfId="19809"/>
    <cellStyle name="Nagłówek 4 2 22 5" xfId="19810"/>
    <cellStyle name="Nagłówek 4 2 22 6" xfId="19811"/>
    <cellStyle name="Nagłówek 4 2 22 7" xfId="19812"/>
    <cellStyle name="Nagłówek 4 2 23" xfId="19813"/>
    <cellStyle name="Nagłówek 4 2 23 2" xfId="19814"/>
    <cellStyle name="Nagłówek 4 2 23 3" xfId="19815"/>
    <cellStyle name="Nagłówek 4 2 23 4" xfId="19816"/>
    <cellStyle name="Nagłówek 4 2 23 5" xfId="19817"/>
    <cellStyle name="Nagłówek 4 2 23 6" xfId="19818"/>
    <cellStyle name="Nagłówek 4 2 23 7" xfId="19819"/>
    <cellStyle name="Nagłówek 4 2 24" xfId="19820"/>
    <cellStyle name="Nagłówek 4 2 24 2" xfId="19821"/>
    <cellStyle name="Nagłówek 4 2 24 3" xfId="19822"/>
    <cellStyle name="Nagłówek 4 2 24 4" xfId="19823"/>
    <cellStyle name="Nagłówek 4 2 24 5" xfId="19824"/>
    <cellStyle name="Nagłówek 4 2 24 6" xfId="19825"/>
    <cellStyle name="Nagłówek 4 2 24 7" xfId="19826"/>
    <cellStyle name="Nagłówek 4 2 25" xfId="19827"/>
    <cellStyle name="Nagłówek 4 2 25 2" xfId="19828"/>
    <cellStyle name="Nagłówek 4 2 25 3" xfId="19829"/>
    <cellStyle name="Nagłówek 4 2 25 4" xfId="19830"/>
    <cellStyle name="Nagłówek 4 2 25 5" xfId="19831"/>
    <cellStyle name="Nagłówek 4 2 25 6" xfId="19832"/>
    <cellStyle name="Nagłówek 4 2 25 7" xfId="19833"/>
    <cellStyle name="Nagłówek 4 2 26" xfId="19834"/>
    <cellStyle name="Nagłówek 4 2 26 2" xfId="19835"/>
    <cellStyle name="Nagłówek 4 2 26 3" xfId="19836"/>
    <cellStyle name="Nagłówek 4 2 26 4" xfId="19837"/>
    <cellStyle name="Nagłówek 4 2 26 5" xfId="19838"/>
    <cellStyle name="Nagłówek 4 2 26 6" xfId="19839"/>
    <cellStyle name="Nagłówek 4 2 26 7" xfId="19840"/>
    <cellStyle name="Nagłówek 4 2 27" xfId="19841"/>
    <cellStyle name="Nagłówek 4 2 27 2" xfId="19842"/>
    <cellStyle name="Nagłówek 4 2 27 3" xfId="19843"/>
    <cellStyle name="Nagłówek 4 2 27 4" xfId="19844"/>
    <cellStyle name="Nagłówek 4 2 27 5" xfId="19845"/>
    <cellStyle name="Nagłówek 4 2 27 6" xfId="19846"/>
    <cellStyle name="Nagłówek 4 2 27 7" xfId="19847"/>
    <cellStyle name="Nagłówek 4 2 28" xfId="19848"/>
    <cellStyle name="Nagłówek 4 2 28 2" xfId="19849"/>
    <cellStyle name="Nagłówek 4 2 28 3" xfId="19850"/>
    <cellStyle name="Nagłówek 4 2 28 4" xfId="19851"/>
    <cellStyle name="Nagłówek 4 2 28 5" xfId="19852"/>
    <cellStyle name="Nagłówek 4 2 28 6" xfId="19853"/>
    <cellStyle name="Nagłówek 4 2 28 7" xfId="19854"/>
    <cellStyle name="Nagłówek 4 2 29" xfId="19855"/>
    <cellStyle name="Nagłówek 4 2 29 2" xfId="19856"/>
    <cellStyle name="Nagłówek 4 2 3" xfId="19857"/>
    <cellStyle name="Nagłówek 4 2 3 2" xfId="19858"/>
    <cellStyle name="Nagłówek 4 2 3 3" xfId="19859"/>
    <cellStyle name="Nagłówek 4 2 3 4" xfId="19860"/>
    <cellStyle name="Nagłówek 4 2 3 5" xfId="19861"/>
    <cellStyle name="Nagłówek 4 2 3 6" xfId="19862"/>
    <cellStyle name="Nagłówek 4 2 3 7" xfId="19863"/>
    <cellStyle name="Nagłówek 4 2 30" xfId="19864"/>
    <cellStyle name="Nagłówek 4 2 30 2" xfId="19865"/>
    <cellStyle name="Nagłówek 4 2 31" xfId="19866"/>
    <cellStyle name="Nagłówek 4 2 31 2" xfId="19867"/>
    <cellStyle name="Nagłówek 4 2 32" xfId="19868"/>
    <cellStyle name="Nagłówek 4 2 32 2" xfId="19869"/>
    <cellStyle name="Nagłówek 4 2 33" xfId="19870"/>
    <cellStyle name="Nagłówek 4 2 34" xfId="19871"/>
    <cellStyle name="Nagłówek 4 2 35" xfId="19872"/>
    <cellStyle name="Nagłówek 4 2 36" xfId="19873"/>
    <cellStyle name="Nagłówek 4 2 37" xfId="19874"/>
    <cellStyle name="Nagłówek 4 2 38" xfId="19875"/>
    <cellStyle name="Nagłówek 4 2 39" xfId="19876"/>
    <cellStyle name="Nagłówek 4 2 4" xfId="19877"/>
    <cellStyle name="Nagłówek 4 2 4 2" xfId="19878"/>
    <cellStyle name="Nagłówek 4 2 4 3" xfId="19879"/>
    <cellStyle name="Nagłówek 4 2 4 4" xfId="19880"/>
    <cellStyle name="Nagłówek 4 2 4 5" xfId="19881"/>
    <cellStyle name="Nagłówek 4 2 4 6" xfId="19882"/>
    <cellStyle name="Nagłówek 4 2 4 7" xfId="19883"/>
    <cellStyle name="Nagłówek 4 2 40" xfId="19884"/>
    <cellStyle name="Nagłówek 4 2 41" xfId="19885"/>
    <cellStyle name="Nagłówek 4 2 42" xfId="19886"/>
    <cellStyle name="Nagłówek 4 2 43" xfId="19887"/>
    <cellStyle name="Nagłówek 4 2 44" xfId="19888"/>
    <cellStyle name="Nagłówek 4 2 45" xfId="19889"/>
    <cellStyle name="Nagłówek 4 2 46" xfId="19890"/>
    <cellStyle name="Nagłówek 4 2 47" xfId="19891"/>
    <cellStyle name="Nagłówek 4 2 48" xfId="19892"/>
    <cellStyle name="Nagłówek 4 2 49" xfId="19893"/>
    <cellStyle name="Nagłówek 4 2 5" xfId="19894"/>
    <cellStyle name="Nagłówek 4 2 5 2" xfId="19895"/>
    <cellStyle name="Nagłówek 4 2 5 3" xfId="19896"/>
    <cellStyle name="Nagłówek 4 2 5 4" xfId="19897"/>
    <cellStyle name="Nagłówek 4 2 5 5" xfId="19898"/>
    <cellStyle name="Nagłówek 4 2 5 6" xfId="19899"/>
    <cellStyle name="Nagłówek 4 2 5 7" xfId="19900"/>
    <cellStyle name="Nagłówek 4 2 50" xfId="19901"/>
    <cellStyle name="Nagłówek 4 2 51" xfId="19902"/>
    <cellStyle name="Nagłówek 4 2 52" xfId="19903"/>
    <cellStyle name="Nagłówek 4 2 53" xfId="19904"/>
    <cellStyle name="Nagłówek 4 2 6" xfId="19905"/>
    <cellStyle name="Nagłówek 4 2 6 2" xfId="19906"/>
    <cellStyle name="Nagłówek 4 2 6 3" xfId="19907"/>
    <cellStyle name="Nagłówek 4 2 6 4" xfId="19908"/>
    <cellStyle name="Nagłówek 4 2 6 5" xfId="19909"/>
    <cellStyle name="Nagłówek 4 2 6 6" xfId="19910"/>
    <cellStyle name="Nagłówek 4 2 6 7" xfId="19911"/>
    <cellStyle name="Nagłówek 4 2 7" xfId="19912"/>
    <cellStyle name="Nagłówek 4 2 7 2" xfId="19913"/>
    <cellStyle name="Nagłówek 4 2 7 3" xfId="19914"/>
    <cellStyle name="Nagłówek 4 2 7 4" xfId="19915"/>
    <cellStyle name="Nagłówek 4 2 7 5" xfId="19916"/>
    <cellStyle name="Nagłówek 4 2 7 6" xfId="19917"/>
    <cellStyle name="Nagłówek 4 2 7 7" xfId="19918"/>
    <cellStyle name="Nagłówek 4 2 8" xfId="19919"/>
    <cellStyle name="Nagłówek 4 2 8 2" xfId="19920"/>
    <cellStyle name="Nagłówek 4 2 8 3" xfId="19921"/>
    <cellStyle name="Nagłówek 4 2 8 4" xfId="19922"/>
    <cellStyle name="Nagłówek 4 2 8 5" xfId="19923"/>
    <cellStyle name="Nagłówek 4 2 8 6" xfId="19924"/>
    <cellStyle name="Nagłówek 4 2 8 7" xfId="19925"/>
    <cellStyle name="Nagłówek 4 2 9" xfId="19926"/>
    <cellStyle name="Nagłówek 4 2 9 2" xfId="19927"/>
    <cellStyle name="Nagłówek 4 2 9 3" xfId="19928"/>
    <cellStyle name="Nagłówek 4 2 9 4" xfId="19929"/>
    <cellStyle name="Nagłówek 4 2 9 5" xfId="19930"/>
    <cellStyle name="Nagłówek 4 2 9 6" xfId="19931"/>
    <cellStyle name="Nagłówek 4 2 9 7" xfId="19932"/>
    <cellStyle name="Nagłówek 4 3" xfId="19933"/>
    <cellStyle name="Nagłówek 4 3 2" xfId="19934"/>
    <cellStyle name="Nagłówek 4 3 2 2" xfId="19935"/>
    <cellStyle name="Nagłówek 4 3 3" xfId="19936"/>
    <cellStyle name="Nagłówek 4 3 4" xfId="19937"/>
    <cellStyle name="Nagłówek 4 3 5" xfId="19938"/>
    <cellStyle name="Nagłówek 4 4" xfId="19939"/>
    <cellStyle name="Nagłówek 4 4 2" xfId="19940"/>
    <cellStyle name="Nagłówek 4 4 3" xfId="19941"/>
    <cellStyle name="Nagłówek 4 4 4" xfId="19942"/>
    <cellStyle name="Nagłówek 4 4 5" xfId="19943"/>
    <cellStyle name="Nagłówek 4 5" xfId="19944"/>
    <cellStyle name="Nagłówek 4 5 2" xfId="19945"/>
    <cellStyle name="Nagłówek 4 5 3" xfId="19946"/>
    <cellStyle name="Nagłówek 4 6" xfId="19947"/>
    <cellStyle name="Nagłówek 4 6 2" xfId="19948"/>
    <cellStyle name="Nagłówek 4 7" xfId="19949"/>
    <cellStyle name="Neutralne 2" xfId="19950"/>
    <cellStyle name="Neutralne 2 10" xfId="19951"/>
    <cellStyle name="Neutralne 2 10 2" xfId="19952"/>
    <cellStyle name="Neutralne 2 10 3" xfId="19953"/>
    <cellStyle name="Neutralne 2 10 4" xfId="19954"/>
    <cellStyle name="Neutralne 2 10 5" xfId="19955"/>
    <cellStyle name="Neutralne 2 10 6" xfId="19956"/>
    <cellStyle name="Neutralne 2 10 7" xfId="19957"/>
    <cellStyle name="Neutralne 2 11" xfId="19958"/>
    <cellStyle name="Neutralne 2 11 2" xfId="19959"/>
    <cellStyle name="Neutralne 2 11 3" xfId="19960"/>
    <cellStyle name="Neutralne 2 11 4" xfId="19961"/>
    <cellStyle name="Neutralne 2 11 5" xfId="19962"/>
    <cellStyle name="Neutralne 2 11 6" xfId="19963"/>
    <cellStyle name="Neutralne 2 11 7" xfId="19964"/>
    <cellStyle name="Neutralne 2 12" xfId="19965"/>
    <cellStyle name="Neutralne 2 12 2" xfId="19966"/>
    <cellStyle name="Neutralne 2 12 3" xfId="19967"/>
    <cellStyle name="Neutralne 2 12 4" xfId="19968"/>
    <cellStyle name="Neutralne 2 12 5" xfId="19969"/>
    <cellStyle name="Neutralne 2 12 6" xfId="19970"/>
    <cellStyle name="Neutralne 2 12 7" xfId="19971"/>
    <cellStyle name="Neutralne 2 13" xfId="19972"/>
    <cellStyle name="Neutralne 2 13 2" xfId="19973"/>
    <cellStyle name="Neutralne 2 13 3" xfId="19974"/>
    <cellStyle name="Neutralne 2 13 4" xfId="19975"/>
    <cellStyle name="Neutralne 2 13 5" xfId="19976"/>
    <cellStyle name="Neutralne 2 13 6" xfId="19977"/>
    <cellStyle name="Neutralne 2 13 7" xfId="19978"/>
    <cellStyle name="Neutralne 2 14" xfId="19979"/>
    <cellStyle name="Neutralne 2 14 2" xfId="19980"/>
    <cellStyle name="Neutralne 2 14 3" xfId="19981"/>
    <cellStyle name="Neutralne 2 14 4" xfId="19982"/>
    <cellStyle name="Neutralne 2 14 5" xfId="19983"/>
    <cellStyle name="Neutralne 2 14 6" xfId="19984"/>
    <cellStyle name="Neutralne 2 14 7" xfId="19985"/>
    <cellStyle name="Neutralne 2 15" xfId="19986"/>
    <cellStyle name="Neutralne 2 15 2" xfId="19987"/>
    <cellStyle name="Neutralne 2 15 3" xfId="19988"/>
    <cellStyle name="Neutralne 2 15 4" xfId="19989"/>
    <cellStyle name="Neutralne 2 15 5" xfId="19990"/>
    <cellStyle name="Neutralne 2 15 6" xfId="19991"/>
    <cellStyle name="Neutralne 2 15 7" xfId="19992"/>
    <cellStyle name="Neutralne 2 16" xfId="19993"/>
    <cellStyle name="Neutralne 2 16 2" xfId="19994"/>
    <cellStyle name="Neutralne 2 16 3" xfId="19995"/>
    <cellStyle name="Neutralne 2 16 4" xfId="19996"/>
    <cellStyle name="Neutralne 2 16 5" xfId="19997"/>
    <cellStyle name="Neutralne 2 16 6" xfId="19998"/>
    <cellStyle name="Neutralne 2 16 7" xfId="19999"/>
    <cellStyle name="Neutralne 2 17" xfId="20000"/>
    <cellStyle name="Neutralne 2 17 2" xfId="20001"/>
    <cellStyle name="Neutralne 2 17 3" xfId="20002"/>
    <cellStyle name="Neutralne 2 17 4" xfId="20003"/>
    <cellStyle name="Neutralne 2 17 5" xfId="20004"/>
    <cellStyle name="Neutralne 2 17 6" xfId="20005"/>
    <cellStyle name="Neutralne 2 17 7" xfId="20006"/>
    <cellStyle name="Neutralne 2 18" xfId="20007"/>
    <cellStyle name="Neutralne 2 18 2" xfId="20008"/>
    <cellStyle name="Neutralne 2 18 3" xfId="20009"/>
    <cellStyle name="Neutralne 2 18 4" xfId="20010"/>
    <cellStyle name="Neutralne 2 18 5" xfId="20011"/>
    <cellStyle name="Neutralne 2 18 6" xfId="20012"/>
    <cellStyle name="Neutralne 2 18 7" xfId="20013"/>
    <cellStyle name="Neutralne 2 19" xfId="20014"/>
    <cellStyle name="Neutralne 2 19 2" xfId="20015"/>
    <cellStyle name="Neutralne 2 19 3" xfId="20016"/>
    <cellStyle name="Neutralne 2 19 4" xfId="20017"/>
    <cellStyle name="Neutralne 2 19 5" xfId="20018"/>
    <cellStyle name="Neutralne 2 19 6" xfId="20019"/>
    <cellStyle name="Neutralne 2 19 7" xfId="20020"/>
    <cellStyle name="Neutralne 2 2" xfId="20021"/>
    <cellStyle name="Neutralne 2 2 2" xfId="20022"/>
    <cellStyle name="Neutralne 2 2 3" xfId="20023"/>
    <cellStyle name="Neutralne 2 2 4" xfId="20024"/>
    <cellStyle name="Neutralne 2 2 5" xfId="20025"/>
    <cellStyle name="Neutralne 2 2 6" xfId="20026"/>
    <cellStyle name="Neutralne 2 2 7" xfId="20027"/>
    <cellStyle name="Neutralne 2 2 8" xfId="20028"/>
    <cellStyle name="Neutralne 2 20" xfId="20029"/>
    <cellStyle name="Neutralne 2 20 2" xfId="20030"/>
    <cellStyle name="Neutralne 2 20 3" xfId="20031"/>
    <cellStyle name="Neutralne 2 20 4" xfId="20032"/>
    <cellStyle name="Neutralne 2 20 5" xfId="20033"/>
    <cellStyle name="Neutralne 2 20 6" xfId="20034"/>
    <cellStyle name="Neutralne 2 20 7" xfId="20035"/>
    <cellStyle name="Neutralne 2 21" xfId="20036"/>
    <cellStyle name="Neutralne 2 21 2" xfId="20037"/>
    <cellStyle name="Neutralne 2 21 3" xfId="20038"/>
    <cellStyle name="Neutralne 2 21 4" xfId="20039"/>
    <cellStyle name="Neutralne 2 21 5" xfId="20040"/>
    <cellStyle name="Neutralne 2 21 6" xfId="20041"/>
    <cellStyle name="Neutralne 2 21 7" xfId="20042"/>
    <cellStyle name="Neutralne 2 22" xfId="20043"/>
    <cellStyle name="Neutralne 2 22 2" xfId="20044"/>
    <cellStyle name="Neutralne 2 22 3" xfId="20045"/>
    <cellStyle name="Neutralne 2 22 4" xfId="20046"/>
    <cellStyle name="Neutralne 2 22 5" xfId="20047"/>
    <cellStyle name="Neutralne 2 22 6" xfId="20048"/>
    <cellStyle name="Neutralne 2 22 7" xfId="20049"/>
    <cellStyle name="Neutralne 2 23" xfId="20050"/>
    <cellStyle name="Neutralne 2 23 2" xfId="20051"/>
    <cellStyle name="Neutralne 2 23 3" xfId="20052"/>
    <cellStyle name="Neutralne 2 23 4" xfId="20053"/>
    <cellStyle name="Neutralne 2 23 5" xfId="20054"/>
    <cellStyle name="Neutralne 2 23 6" xfId="20055"/>
    <cellStyle name="Neutralne 2 23 7" xfId="20056"/>
    <cellStyle name="Neutralne 2 24" xfId="20057"/>
    <cellStyle name="Neutralne 2 24 2" xfId="20058"/>
    <cellStyle name="Neutralne 2 24 3" xfId="20059"/>
    <cellStyle name="Neutralne 2 24 4" xfId="20060"/>
    <cellStyle name="Neutralne 2 24 5" xfId="20061"/>
    <cellStyle name="Neutralne 2 24 6" xfId="20062"/>
    <cellStyle name="Neutralne 2 24 7" xfId="20063"/>
    <cellStyle name="Neutralne 2 25" xfId="20064"/>
    <cellStyle name="Neutralne 2 25 2" xfId="20065"/>
    <cellStyle name="Neutralne 2 25 3" xfId="20066"/>
    <cellStyle name="Neutralne 2 25 4" xfId="20067"/>
    <cellStyle name="Neutralne 2 25 5" xfId="20068"/>
    <cellStyle name="Neutralne 2 25 6" xfId="20069"/>
    <cellStyle name="Neutralne 2 25 7" xfId="20070"/>
    <cellStyle name="Neutralne 2 26" xfId="20071"/>
    <cellStyle name="Neutralne 2 26 2" xfId="20072"/>
    <cellStyle name="Neutralne 2 26 3" xfId="20073"/>
    <cellStyle name="Neutralne 2 26 4" xfId="20074"/>
    <cellStyle name="Neutralne 2 26 5" xfId="20075"/>
    <cellStyle name="Neutralne 2 26 6" xfId="20076"/>
    <cellStyle name="Neutralne 2 26 7" xfId="20077"/>
    <cellStyle name="Neutralne 2 27" xfId="20078"/>
    <cellStyle name="Neutralne 2 27 2" xfId="20079"/>
    <cellStyle name="Neutralne 2 27 3" xfId="20080"/>
    <cellStyle name="Neutralne 2 27 4" xfId="20081"/>
    <cellStyle name="Neutralne 2 27 5" xfId="20082"/>
    <cellStyle name="Neutralne 2 27 6" xfId="20083"/>
    <cellStyle name="Neutralne 2 27 7" xfId="20084"/>
    <cellStyle name="Neutralne 2 28" xfId="20085"/>
    <cellStyle name="Neutralne 2 28 2" xfId="20086"/>
    <cellStyle name="Neutralne 2 28 3" xfId="20087"/>
    <cellStyle name="Neutralne 2 28 4" xfId="20088"/>
    <cellStyle name="Neutralne 2 28 5" xfId="20089"/>
    <cellStyle name="Neutralne 2 28 6" xfId="20090"/>
    <cellStyle name="Neutralne 2 28 7" xfId="20091"/>
    <cellStyle name="Neutralne 2 29" xfId="20092"/>
    <cellStyle name="Neutralne 2 29 2" xfId="20093"/>
    <cellStyle name="Neutralne 2 3" xfId="20094"/>
    <cellStyle name="Neutralne 2 3 2" xfId="20095"/>
    <cellStyle name="Neutralne 2 3 3" xfId="20096"/>
    <cellStyle name="Neutralne 2 3 4" xfId="20097"/>
    <cellStyle name="Neutralne 2 3 5" xfId="20098"/>
    <cellStyle name="Neutralne 2 3 6" xfId="20099"/>
    <cellStyle name="Neutralne 2 3 7" xfId="20100"/>
    <cellStyle name="Neutralne 2 30" xfId="20101"/>
    <cellStyle name="Neutralne 2 30 2" xfId="20102"/>
    <cellStyle name="Neutralne 2 31" xfId="20103"/>
    <cellStyle name="Neutralne 2 31 2" xfId="20104"/>
    <cellStyle name="Neutralne 2 32" xfId="20105"/>
    <cellStyle name="Neutralne 2 32 2" xfId="20106"/>
    <cellStyle name="Neutralne 2 33" xfId="20107"/>
    <cellStyle name="Neutralne 2 34" xfId="20108"/>
    <cellStyle name="Neutralne 2 35" xfId="20109"/>
    <cellStyle name="Neutralne 2 36" xfId="20110"/>
    <cellStyle name="Neutralne 2 37" xfId="20111"/>
    <cellStyle name="Neutralne 2 38" xfId="20112"/>
    <cellStyle name="Neutralne 2 39" xfId="20113"/>
    <cellStyle name="Neutralne 2 4" xfId="20114"/>
    <cellStyle name="Neutralne 2 4 2" xfId="20115"/>
    <cellStyle name="Neutralne 2 4 3" xfId="20116"/>
    <cellStyle name="Neutralne 2 4 4" xfId="20117"/>
    <cellStyle name="Neutralne 2 4 5" xfId="20118"/>
    <cellStyle name="Neutralne 2 4 6" xfId="20119"/>
    <cellStyle name="Neutralne 2 4 7" xfId="20120"/>
    <cellStyle name="Neutralne 2 5" xfId="20121"/>
    <cellStyle name="Neutralne 2 5 2" xfId="20122"/>
    <cellStyle name="Neutralne 2 5 3" xfId="20123"/>
    <cellStyle name="Neutralne 2 5 4" xfId="20124"/>
    <cellStyle name="Neutralne 2 5 5" xfId="20125"/>
    <cellStyle name="Neutralne 2 5 6" xfId="20126"/>
    <cellStyle name="Neutralne 2 5 7" xfId="20127"/>
    <cellStyle name="Neutralne 2 6" xfId="20128"/>
    <cellStyle name="Neutralne 2 6 2" xfId="20129"/>
    <cellStyle name="Neutralne 2 6 3" xfId="20130"/>
    <cellStyle name="Neutralne 2 6 4" xfId="20131"/>
    <cellStyle name="Neutralne 2 6 5" xfId="20132"/>
    <cellStyle name="Neutralne 2 6 6" xfId="20133"/>
    <cellStyle name="Neutralne 2 6 7" xfId="20134"/>
    <cellStyle name="Neutralne 2 7" xfId="20135"/>
    <cellStyle name="Neutralne 2 7 2" xfId="20136"/>
    <cellStyle name="Neutralne 2 7 3" xfId="20137"/>
    <cellStyle name="Neutralne 2 7 4" xfId="20138"/>
    <cellStyle name="Neutralne 2 7 5" xfId="20139"/>
    <cellStyle name="Neutralne 2 7 6" xfId="20140"/>
    <cellStyle name="Neutralne 2 7 7" xfId="20141"/>
    <cellStyle name="Neutralne 2 8" xfId="20142"/>
    <cellStyle name="Neutralne 2 8 2" xfId="20143"/>
    <cellStyle name="Neutralne 2 8 3" xfId="20144"/>
    <cellStyle name="Neutralne 2 8 4" xfId="20145"/>
    <cellStyle name="Neutralne 2 8 5" xfId="20146"/>
    <cellStyle name="Neutralne 2 8 6" xfId="20147"/>
    <cellStyle name="Neutralne 2 8 7" xfId="20148"/>
    <cellStyle name="Neutralne 2 9" xfId="20149"/>
    <cellStyle name="Neutralne 2 9 2" xfId="20150"/>
    <cellStyle name="Neutralne 2 9 3" xfId="20151"/>
    <cellStyle name="Neutralne 2 9 4" xfId="20152"/>
    <cellStyle name="Neutralne 2 9 5" xfId="20153"/>
    <cellStyle name="Neutralne 2 9 6" xfId="20154"/>
    <cellStyle name="Neutralne 2 9 7" xfId="20155"/>
    <cellStyle name="Neutralne 3" xfId="20156"/>
    <cellStyle name="Neutralne 3 2" xfId="20157"/>
    <cellStyle name="Neutralne 3 2 2" xfId="20158"/>
    <cellStyle name="Neutralne 3 3" xfId="20159"/>
    <cellStyle name="Neutralne 3 4" xfId="20160"/>
    <cellStyle name="Neutralne 3 5" xfId="20161"/>
    <cellStyle name="Neutralne 3 6" xfId="20162"/>
    <cellStyle name="Neutralne 3 7" xfId="20163"/>
    <cellStyle name="Neutralne 3 8" xfId="20164"/>
    <cellStyle name="Neutralne 3 9" xfId="20165"/>
    <cellStyle name="Neutralne 4" xfId="20166"/>
    <cellStyle name="Neutralne 4 2" xfId="20167"/>
    <cellStyle name="Neutralne 4 3" xfId="20168"/>
    <cellStyle name="Neutralne 4 4" xfId="20169"/>
    <cellStyle name="Neutralne 4 5" xfId="20170"/>
    <cellStyle name="Neutralne 4 6" xfId="20171"/>
    <cellStyle name="Neutralne 4 7" xfId="20172"/>
    <cellStyle name="Neutralne 4 8" xfId="20173"/>
    <cellStyle name="Neutralne 4 9" xfId="20174"/>
    <cellStyle name="Neutralne 5" xfId="20175"/>
    <cellStyle name="Neutralne 5 2" xfId="20176"/>
    <cellStyle name="Neutralne 5 3" xfId="20177"/>
    <cellStyle name="Neutralne 6" xfId="20178"/>
    <cellStyle name="Neutralne 6 2" xfId="20179"/>
    <cellStyle name="Neutralne 7" xfId="20180"/>
    <cellStyle name="Nor}al" xfId="20181"/>
    <cellStyle name="Normal - Style1" xfId="20182"/>
    <cellStyle name="Normal 2" xfId="20183"/>
    <cellStyle name="Normal 3" xfId="20184"/>
    <cellStyle name="Normal 4" xfId="18"/>
    <cellStyle name="Normal_bilans_kardia" xfId="20185"/>
    <cellStyle name="Normál_cb-fr" xfId="20186"/>
    <cellStyle name="Normal_CC_SM_B" xfId="20187"/>
    <cellStyle name="Normale_INDIA_Allegato3" xfId="20188"/>
    <cellStyle name="normální_Kopie - Kalos_DD­_3" xfId="20189"/>
    <cellStyle name="Normalny" xfId="0" builtinId="0"/>
    <cellStyle name="Normalny 10" xfId="20190"/>
    <cellStyle name="Normalny 10 10" xfId="20191"/>
    <cellStyle name="Normalny 10 10 2" xfId="20192"/>
    <cellStyle name="Normalny 10 11" xfId="20193"/>
    <cellStyle name="Normalny 10 11 2" xfId="20194"/>
    <cellStyle name="Normalny 10 12" xfId="20195"/>
    <cellStyle name="Normalny 10 12 2" xfId="20196"/>
    <cellStyle name="Normalny 10 13" xfId="20197"/>
    <cellStyle name="Normalny 10 13 2" xfId="20198"/>
    <cellStyle name="Normalny 10 14" xfId="20199"/>
    <cellStyle name="Normalny 10 14 2" xfId="20200"/>
    <cellStyle name="Normalny 10 15" xfId="20201"/>
    <cellStyle name="Normalny 10 15 2" xfId="20202"/>
    <cellStyle name="Normalny 10 16" xfId="20203"/>
    <cellStyle name="Normalny 10 16 2" xfId="20204"/>
    <cellStyle name="Normalny 10 17" xfId="20205"/>
    <cellStyle name="Normalny 10 17 2" xfId="20206"/>
    <cellStyle name="Normalny 10 18" xfId="20207"/>
    <cellStyle name="Normalny 10 18 2" xfId="20208"/>
    <cellStyle name="Normalny 10 19" xfId="20209"/>
    <cellStyle name="Normalny 10 19 2" xfId="20210"/>
    <cellStyle name="Normalny 10 2" xfId="20211"/>
    <cellStyle name="Normalny 10 2 2" xfId="20212"/>
    <cellStyle name="Normalny 10 2 3" xfId="20213"/>
    <cellStyle name="Normalny 10 2 4" xfId="20214"/>
    <cellStyle name="Normalny 10 20" xfId="20215"/>
    <cellStyle name="Normalny 10 20 2" xfId="20216"/>
    <cellStyle name="Normalny 10 21" xfId="20217"/>
    <cellStyle name="Normalny 10 21 2" xfId="20218"/>
    <cellStyle name="Normalny 10 22" xfId="20219"/>
    <cellStyle name="Normalny 10 22 2" xfId="20220"/>
    <cellStyle name="Normalny 10 23" xfId="20221"/>
    <cellStyle name="Normalny 10 23 2" xfId="20222"/>
    <cellStyle name="Normalny 10 24" xfId="20223"/>
    <cellStyle name="Normalny 10 24 2" xfId="20224"/>
    <cellStyle name="Normalny 10 25" xfId="20225"/>
    <cellStyle name="Normalny 10 25 2" xfId="20226"/>
    <cellStyle name="Normalny 10 26" xfId="20227"/>
    <cellStyle name="Normalny 10 26 2" xfId="20228"/>
    <cellStyle name="Normalny 10 27" xfId="20229"/>
    <cellStyle name="Normalny 10 27 2" xfId="20230"/>
    <cellStyle name="Normalny 10 28" xfId="20231"/>
    <cellStyle name="Normalny 10 29" xfId="20232"/>
    <cellStyle name="Normalny 10 3" xfId="20233"/>
    <cellStyle name="Normalny 10 3 2" xfId="20234"/>
    <cellStyle name="Normalny 10 3 3" xfId="20235"/>
    <cellStyle name="Normalny 10 3 4" xfId="20236"/>
    <cellStyle name="Normalny 10 30" xfId="20237"/>
    <cellStyle name="Normalny 10 31" xfId="20238"/>
    <cellStyle name="Normalny 10 32" xfId="20239"/>
    <cellStyle name="Normalny 10 33" xfId="20240"/>
    <cellStyle name="Normalny 10 34" xfId="20241"/>
    <cellStyle name="Normalny 10 35" xfId="20242"/>
    <cellStyle name="Normalny 10 36" xfId="20243"/>
    <cellStyle name="Normalny 10 37" xfId="20244"/>
    <cellStyle name="Normalny 10 38" xfId="20245"/>
    <cellStyle name="Normalny 10 39" xfId="20246"/>
    <cellStyle name="Normalny 10 4" xfId="20247"/>
    <cellStyle name="Normalny 10 4 2" xfId="20248"/>
    <cellStyle name="Normalny 10 4 3" xfId="20249"/>
    <cellStyle name="Normalny 10 40" xfId="20250"/>
    <cellStyle name="Normalny 10 41" xfId="20251"/>
    <cellStyle name="Normalny 10 42" xfId="20252"/>
    <cellStyle name="Normalny 10 43" xfId="20253"/>
    <cellStyle name="Normalny 10 44" xfId="20254"/>
    <cellStyle name="Normalny 10 45" xfId="20255"/>
    <cellStyle name="Normalny 10 46" xfId="20256"/>
    <cellStyle name="Normalny 10 47" xfId="20257"/>
    <cellStyle name="Normalny 10 48" xfId="20258"/>
    <cellStyle name="Normalny 10 49" xfId="20259"/>
    <cellStyle name="Normalny 10 5" xfId="20260"/>
    <cellStyle name="Normalny 10 5 2" xfId="20261"/>
    <cellStyle name="Normalny 10 5 3" xfId="20262"/>
    <cellStyle name="Normalny 10 50" xfId="20263"/>
    <cellStyle name="Normalny 10 51" xfId="20264"/>
    <cellStyle name="Normalny 10 52" xfId="20265"/>
    <cellStyle name="Normalny 10 53" xfId="20266"/>
    <cellStyle name="Normalny 10 54" xfId="20267"/>
    <cellStyle name="Normalny 10 55" xfId="20268"/>
    <cellStyle name="Normalny 10 56" xfId="20269"/>
    <cellStyle name="Normalny 10 57" xfId="20270"/>
    <cellStyle name="Normalny 10 58" xfId="20271"/>
    <cellStyle name="Normalny 10 59" xfId="20272"/>
    <cellStyle name="Normalny 10 6" xfId="20273"/>
    <cellStyle name="Normalny 10 6 2" xfId="20274"/>
    <cellStyle name="Normalny 10 60" xfId="20275"/>
    <cellStyle name="Normalny 10 61" xfId="20276"/>
    <cellStyle name="Normalny 10 62" xfId="20277"/>
    <cellStyle name="Normalny 10 63" xfId="20278"/>
    <cellStyle name="Normalny 10 64" xfId="20279"/>
    <cellStyle name="Normalny 10 65" xfId="20280"/>
    <cellStyle name="Normalny 10 66" xfId="20281"/>
    <cellStyle name="Normalny 10 67" xfId="20282"/>
    <cellStyle name="Normalny 10 68" xfId="20283"/>
    <cellStyle name="Normalny 10 69" xfId="20284"/>
    <cellStyle name="Normalny 10 7" xfId="20285"/>
    <cellStyle name="Normalny 10 7 2" xfId="20286"/>
    <cellStyle name="Normalny 10 70" xfId="20287"/>
    <cellStyle name="Normalny 10 71" xfId="20288"/>
    <cellStyle name="Normalny 10 72" xfId="20289"/>
    <cellStyle name="Normalny 10 73" xfId="20290"/>
    <cellStyle name="Normalny 10 74" xfId="20291"/>
    <cellStyle name="Normalny 10 75" xfId="20292"/>
    <cellStyle name="Normalny 10 8" xfId="20293"/>
    <cellStyle name="Normalny 10 8 2" xfId="20294"/>
    <cellStyle name="Normalny 10 9" xfId="20295"/>
    <cellStyle name="Normalny 10 9 2" xfId="20296"/>
    <cellStyle name="Normalny 100" xfId="20297"/>
    <cellStyle name="Normalny 100 2" xfId="20298"/>
    <cellStyle name="Normalny 101" xfId="20299"/>
    <cellStyle name="Normalny 101 2" xfId="20300"/>
    <cellStyle name="Normalny 102" xfId="20301"/>
    <cellStyle name="Normalny 102 2" xfId="20302"/>
    <cellStyle name="Normalny 103" xfId="20303"/>
    <cellStyle name="Normalny 103 2" xfId="20304"/>
    <cellStyle name="Normalny 104" xfId="20305"/>
    <cellStyle name="Normalny 104 2" xfId="20306"/>
    <cellStyle name="Normalny 105" xfId="20307"/>
    <cellStyle name="Normalny 105 2" xfId="20308"/>
    <cellStyle name="Normalny 106" xfId="20309"/>
    <cellStyle name="Normalny 106 2" xfId="20310"/>
    <cellStyle name="Normalny 107" xfId="20311"/>
    <cellStyle name="Normalny 107 2" xfId="20312"/>
    <cellStyle name="Normalny 108" xfId="20313"/>
    <cellStyle name="Normalny 108 2" xfId="20314"/>
    <cellStyle name="Normalny 109" xfId="20315"/>
    <cellStyle name="Normalny 109 2" xfId="20316"/>
    <cellStyle name="Normalny 11" xfId="20317"/>
    <cellStyle name="Normalny 11 2" xfId="20318"/>
    <cellStyle name="Normalny 11 2 2" xfId="20319"/>
    <cellStyle name="Normalny 11 2 3" xfId="20320"/>
    <cellStyle name="Normalny 11 3" xfId="20321"/>
    <cellStyle name="Normalny 11 3 2" xfId="20322"/>
    <cellStyle name="Normalny 11 4" xfId="20323"/>
    <cellStyle name="Normalny 11 5" xfId="20324"/>
    <cellStyle name="Normalny 110" xfId="20325"/>
    <cellStyle name="Normalny 110 2" xfId="20326"/>
    <cellStyle name="Normalny 111" xfId="20327"/>
    <cellStyle name="Normalny 111 2" xfId="20328"/>
    <cellStyle name="Normalny 112" xfId="20329"/>
    <cellStyle name="Normalny 112 2" xfId="20330"/>
    <cellStyle name="Normalny 113" xfId="20331"/>
    <cellStyle name="Normalny 113 2" xfId="20332"/>
    <cellStyle name="Normalny 114" xfId="20333"/>
    <cellStyle name="Normalny 114 2" xfId="20334"/>
    <cellStyle name="Normalny 115" xfId="20335"/>
    <cellStyle name="Normalny 115 2" xfId="20336"/>
    <cellStyle name="Normalny 116" xfId="20337"/>
    <cellStyle name="Normalny 116 2" xfId="20338"/>
    <cellStyle name="Normalny 117" xfId="20339"/>
    <cellStyle name="Normalny 117 2" xfId="20340"/>
    <cellStyle name="Normalny 118" xfId="20341"/>
    <cellStyle name="Normalny 118 2" xfId="20342"/>
    <cellStyle name="Normalny 119" xfId="20343"/>
    <cellStyle name="Normalny 119 2" xfId="20344"/>
    <cellStyle name="Normalny 12" xfId="20345"/>
    <cellStyle name="Normalny 12 10" xfId="20346"/>
    <cellStyle name="Normalny 12 10 2" xfId="20347"/>
    <cellStyle name="Normalny 12 11" xfId="20348"/>
    <cellStyle name="Normalny 12 11 2" xfId="20349"/>
    <cellStyle name="Normalny 12 12" xfId="20350"/>
    <cellStyle name="Normalny 12 12 2" xfId="20351"/>
    <cellStyle name="Normalny 12 13" xfId="20352"/>
    <cellStyle name="Normalny 12 13 2" xfId="20353"/>
    <cellStyle name="Normalny 12 14" xfId="20354"/>
    <cellStyle name="Normalny 12 14 2" xfId="20355"/>
    <cellStyle name="Normalny 12 15" xfId="20356"/>
    <cellStyle name="Normalny 12 15 2" xfId="20357"/>
    <cellStyle name="Normalny 12 16" xfId="20358"/>
    <cellStyle name="Normalny 12 16 2" xfId="20359"/>
    <cellStyle name="Normalny 12 17" xfId="20360"/>
    <cellStyle name="Normalny 12 17 2" xfId="20361"/>
    <cellStyle name="Normalny 12 18" xfId="20362"/>
    <cellStyle name="Normalny 12 18 2" xfId="20363"/>
    <cellStyle name="Normalny 12 19" xfId="20364"/>
    <cellStyle name="Normalny 12 19 2" xfId="20365"/>
    <cellStyle name="Normalny 12 2" xfId="20366"/>
    <cellStyle name="Normalny 12 2 2" xfId="20367"/>
    <cellStyle name="Normalny 12 2 3" xfId="20368"/>
    <cellStyle name="Normalny 12 2 4" xfId="20369"/>
    <cellStyle name="Normalny 12 20" xfId="20370"/>
    <cellStyle name="Normalny 12 20 2" xfId="20371"/>
    <cellStyle name="Normalny 12 21" xfId="20372"/>
    <cellStyle name="Normalny 12 21 2" xfId="20373"/>
    <cellStyle name="Normalny 12 22" xfId="20374"/>
    <cellStyle name="Normalny 12 22 2" xfId="20375"/>
    <cellStyle name="Normalny 12 23" xfId="20376"/>
    <cellStyle name="Normalny 12 23 2" xfId="20377"/>
    <cellStyle name="Normalny 12 24" xfId="20378"/>
    <cellStyle name="Normalny 12 24 2" xfId="20379"/>
    <cellStyle name="Normalny 12 25" xfId="20380"/>
    <cellStyle name="Normalny 12 25 2" xfId="20381"/>
    <cellStyle name="Normalny 12 26" xfId="20382"/>
    <cellStyle name="Normalny 12 26 2" xfId="20383"/>
    <cellStyle name="Normalny 12 27" xfId="20384"/>
    <cellStyle name="Normalny 12 27 2" xfId="20385"/>
    <cellStyle name="Normalny 12 28" xfId="20386"/>
    <cellStyle name="Normalny 12 29" xfId="20387"/>
    <cellStyle name="Normalny 12 3" xfId="20388"/>
    <cellStyle name="Normalny 12 3 2" xfId="20389"/>
    <cellStyle name="Normalny 12 3 3" xfId="20390"/>
    <cellStyle name="Normalny 12 30" xfId="20391"/>
    <cellStyle name="Normalny 12 31" xfId="20392"/>
    <cellStyle name="Normalny 12 32" xfId="20393"/>
    <cellStyle name="Normalny 12 33" xfId="20394"/>
    <cellStyle name="Normalny 12 34" xfId="20395"/>
    <cellStyle name="Normalny 12 35" xfId="20396"/>
    <cellStyle name="Normalny 12 36" xfId="20397"/>
    <cellStyle name="Normalny 12 37" xfId="20398"/>
    <cellStyle name="Normalny 12 38" xfId="20399"/>
    <cellStyle name="Normalny 12 39" xfId="20400"/>
    <cellStyle name="Normalny 12 4" xfId="20401"/>
    <cellStyle name="Normalny 12 4 2" xfId="20402"/>
    <cellStyle name="Normalny 12 4 3" xfId="20403"/>
    <cellStyle name="Normalny 12 40" xfId="20404"/>
    <cellStyle name="Normalny 12 41" xfId="20405"/>
    <cellStyle name="Normalny 12 42" xfId="20406"/>
    <cellStyle name="Normalny 12 43" xfId="20407"/>
    <cellStyle name="Normalny 12 44" xfId="20408"/>
    <cellStyle name="Normalny 12 45" xfId="20409"/>
    <cellStyle name="Normalny 12 46" xfId="20410"/>
    <cellStyle name="Normalny 12 47" xfId="20411"/>
    <cellStyle name="Normalny 12 48" xfId="20412"/>
    <cellStyle name="Normalny 12 49" xfId="20413"/>
    <cellStyle name="Normalny 12 5" xfId="20414"/>
    <cellStyle name="Normalny 12 5 2" xfId="20415"/>
    <cellStyle name="Normalny 12 5 3" xfId="20416"/>
    <cellStyle name="Normalny 12 50" xfId="20417"/>
    <cellStyle name="Normalny 12 51" xfId="20418"/>
    <cellStyle name="Normalny 12 52" xfId="20419"/>
    <cellStyle name="Normalny 12 53" xfId="20420"/>
    <cellStyle name="Normalny 12 54" xfId="20421"/>
    <cellStyle name="Normalny 12 55" xfId="20422"/>
    <cellStyle name="Normalny 12 56" xfId="20423"/>
    <cellStyle name="Normalny 12 57" xfId="20424"/>
    <cellStyle name="Normalny 12 58" xfId="20425"/>
    <cellStyle name="Normalny 12 59" xfId="20426"/>
    <cellStyle name="Normalny 12 6" xfId="20427"/>
    <cellStyle name="Normalny 12 6 2" xfId="20428"/>
    <cellStyle name="Normalny 12 60" xfId="20429"/>
    <cellStyle name="Normalny 12 61" xfId="20430"/>
    <cellStyle name="Normalny 12 62" xfId="20431"/>
    <cellStyle name="Normalny 12 63" xfId="20432"/>
    <cellStyle name="Normalny 12 64" xfId="20433"/>
    <cellStyle name="Normalny 12 65" xfId="20434"/>
    <cellStyle name="Normalny 12 66" xfId="20435"/>
    <cellStyle name="Normalny 12 67" xfId="20436"/>
    <cellStyle name="Normalny 12 68" xfId="20437"/>
    <cellStyle name="Normalny 12 69" xfId="20438"/>
    <cellStyle name="Normalny 12 7" xfId="20439"/>
    <cellStyle name="Normalny 12 7 2" xfId="20440"/>
    <cellStyle name="Normalny 12 70" xfId="20441"/>
    <cellStyle name="Normalny 12 71" xfId="20442"/>
    <cellStyle name="Normalny 12 72" xfId="20443"/>
    <cellStyle name="Normalny 12 73" xfId="20444"/>
    <cellStyle name="Normalny 12 74" xfId="20445"/>
    <cellStyle name="Normalny 12 75" xfId="20446"/>
    <cellStyle name="Normalny 12 8" xfId="20447"/>
    <cellStyle name="Normalny 12 8 2" xfId="20448"/>
    <cellStyle name="Normalny 12 9" xfId="20449"/>
    <cellStyle name="Normalny 12 9 2" xfId="20450"/>
    <cellStyle name="Normalny 120" xfId="20451"/>
    <cellStyle name="Normalny 120 2" xfId="20452"/>
    <cellStyle name="Normalny 121" xfId="20453"/>
    <cellStyle name="Normalny 121 2" xfId="20454"/>
    <cellStyle name="Normalny 121 2 2" xfId="20455"/>
    <cellStyle name="Normalny 122" xfId="20456"/>
    <cellStyle name="Normalny 122 2" xfId="20457"/>
    <cellStyle name="Normalny 123" xfId="16"/>
    <cellStyle name="Normalny 123 2" xfId="20458"/>
    <cellStyle name="Normalny 123 3" xfId="42849"/>
    <cellStyle name="Normalny 124" xfId="11"/>
    <cellStyle name="Normalny 125" xfId="20459"/>
    <cellStyle name="Normalny 126" xfId="12"/>
    <cellStyle name="Normalny 127" xfId="14"/>
    <cellStyle name="Normalny 128" xfId="20460"/>
    <cellStyle name="Normalny 129" xfId="20461"/>
    <cellStyle name="Normalny 13" xfId="20462"/>
    <cellStyle name="Normalny 13 2" xfId="20463"/>
    <cellStyle name="Normalny 13 2 2" xfId="20464"/>
    <cellStyle name="Normalny 13 2 3" xfId="20465"/>
    <cellStyle name="Normalny 13 3" xfId="20466"/>
    <cellStyle name="Normalny 13 3 2" xfId="20467"/>
    <cellStyle name="Normalny 13 4" xfId="20468"/>
    <cellStyle name="Normalny 130" xfId="20469"/>
    <cellStyle name="Normalny 131" xfId="20470"/>
    <cellStyle name="Normalny 132" xfId="20471"/>
    <cellStyle name="Normalny 133" xfId="20472"/>
    <cellStyle name="Normalny 134" xfId="42845"/>
    <cellStyle name="Normalny 135" xfId="42848"/>
    <cellStyle name="Normalny 136" xfId="9"/>
    <cellStyle name="Normalny 14" xfId="20473"/>
    <cellStyle name="Normalny 14 2" xfId="20474"/>
    <cellStyle name="Normalny 14 2 2" xfId="20475"/>
    <cellStyle name="Normalny 14 3" xfId="20476"/>
    <cellStyle name="Normalny 14 4" xfId="20477"/>
    <cellStyle name="Normalny 14 5" xfId="20478"/>
    <cellStyle name="Normalny 15" xfId="20479"/>
    <cellStyle name="Normalny 15 2" xfId="20480"/>
    <cellStyle name="Normalny 15 2 2" xfId="20481"/>
    <cellStyle name="Normalny 15 2 3" xfId="20482"/>
    <cellStyle name="Normalny 15 3" xfId="20483"/>
    <cellStyle name="Normalny 15 4" xfId="20484"/>
    <cellStyle name="Normalny 15 5" xfId="20485"/>
    <cellStyle name="Normalny 15 6" xfId="20486"/>
    <cellStyle name="Normalny 16" xfId="20487"/>
    <cellStyle name="Normalny 16 2" xfId="20488"/>
    <cellStyle name="Normalny 16 2 2" xfId="20489"/>
    <cellStyle name="Normalny 16 3" xfId="20490"/>
    <cellStyle name="Normalny 16 4" xfId="20491"/>
    <cellStyle name="Normalny 16 5" xfId="20492"/>
    <cellStyle name="Normalny 17" xfId="15"/>
    <cellStyle name="Normalny 17 2" xfId="20493"/>
    <cellStyle name="Normalny 17 3" xfId="20494"/>
    <cellStyle name="Normalny 17 4" xfId="20495"/>
    <cellStyle name="Normalny 17 5" xfId="20496"/>
    <cellStyle name="Normalny 18" xfId="20497"/>
    <cellStyle name="Normalny 18 2" xfId="20498"/>
    <cellStyle name="Normalny 18 3" xfId="20499"/>
    <cellStyle name="Normalny 18 4" xfId="20500"/>
    <cellStyle name="Normalny 19" xfId="20501"/>
    <cellStyle name="Normalny 19 2" xfId="20502"/>
    <cellStyle name="Normalny 19 2 2" xfId="20503"/>
    <cellStyle name="Normalny 19 2 3" xfId="20504"/>
    <cellStyle name="Normalny 19 3" xfId="20505"/>
    <cellStyle name="Normalny 19 4" xfId="20506"/>
    <cellStyle name="Normalny 19 5" xfId="20507"/>
    <cellStyle name="Normalny 2" xfId="3"/>
    <cellStyle name="Normalny 2 10" xfId="20509"/>
    <cellStyle name="Normalny 2 10 2" xfId="20510"/>
    <cellStyle name="Normalny 2 10 3" xfId="20511"/>
    <cellStyle name="Normalny 2 10 4" xfId="20512"/>
    <cellStyle name="Normalny 2 10 5" xfId="20513"/>
    <cellStyle name="Normalny 2 11" xfId="20514"/>
    <cellStyle name="Normalny 2 11 2" xfId="20515"/>
    <cellStyle name="Normalny 2 11 3" xfId="20516"/>
    <cellStyle name="Normalny 2 11 4" xfId="20517"/>
    <cellStyle name="Normalny 2 12" xfId="20518"/>
    <cellStyle name="Normalny 2 12 2" xfId="20519"/>
    <cellStyle name="Normalny 2 12 3" xfId="20520"/>
    <cellStyle name="Normalny 2 12 4" xfId="20521"/>
    <cellStyle name="Normalny 2 13" xfId="20522"/>
    <cellStyle name="Normalny 2 13 2" xfId="20523"/>
    <cellStyle name="Normalny 2 13 3" xfId="20524"/>
    <cellStyle name="Normalny 2 14" xfId="20525"/>
    <cellStyle name="Normalny 2 14 2" xfId="20526"/>
    <cellStyle name="Normalny 2 14 3" xfId="20527"/>
    <cellStyle name="Normalny 2 15" xfId="20528"/>
    <cellStyle name="Normalny 2 15 2" xfId="20529"/>
    <cellStyle name="Normalny 2 15 3" xfId="20530"/>
    <cellStyle name="Normalny 2 16" xfId="20531"/>
    <cellStyle name="Normalny 2 16 2" xfId="20532"/>
    <cellStyle name="Normalny 2 16 3" xfId="20533"/>
    <cellStyle name="Normalny 2 17" xfId="20534"/>
    <cellStyle name="Normalny 2 17 2" xfId="20535"/>
    <cellStyle name="Normalny 2 17 3" xfId="20536"/>
    <cellStyle name="Normalny 2 18" xfId="20537"/>
    <cellStyle name="Normalny 2 18 2" xfId="20538"/>
    <cellStyle name="Normalny 2 18 3" xfId="20539"/>
    <cellStyle name="Normalny 2 19" xfId="20540"/>
    <cellStyle name="Normalny 2 19 2" xfId="20541"/>
    <cellStyle name="Normalny 2 19 3" xfId="20542"/>
    <cellStyle name="Normalny 2 2" xfId="20543"/>
    <cellStyle name="Normalny 2 2 10" xfId="20544"/>
    <cellStyle name="Normalny 2 2 10 2" xfId="20545"/>
    <cellStyle name="Normalny 2 2 11" xfId="20546"/>
    <cellStyle name="Normalny 2 2 11 2" xfId="20547"/>
    <cellStyle name="Normalny 2 2 12" xfId="20548"/>
    <cellStyle name="Normalny 2 2 13" xfId="20549"/>
    <cellStyle name="Normalny 2 2 14" xfId="20550"/>
    <cellStyle name="Normalny 2 2 15" xfId="20551"/>
    <cellStyle name="Normalny 2 2 16" xfId="20552"/>
    <cellStyle name="Normalny 2 2 17" xfId="20553"/>
    <cellStyle name="Normalny 2 2 18" xfId="20554"/>
    <cellStyle name="Normalny 2 2 19" xfId="20555"/>
    <cellStyle name="Normalny 2 2 2" xfId="20556"/>
    <cellStyle name="Normalny 2 2 2 2" xfId="20557"/>
    <cellStyle name="Normalny 2 2 2 2 2" xfId="20558"/>
    <cellStyle name="Normalny 2 2 2 3" xfId="20559"/>
    <cellStyle name="Normalny 2 2 2 3 2" xfId="20560"/>
    <cellStyle name="Normalny 2 2 2 3 3" xfId="20561"/>
    <cellStyle name="Normalny 2 2 2 4" xfId="20562"/>
    <cellStyle name="Normalny 2 2 3" xfId="4"/>
    <cellStyle name="Normalny 2 2 3 2" xfId="20564"/>
    <cellStyle name="Normalny 2 2 3 2 2" xfId="20565"/>
    <cellStyle name="Normalny 2 2 3 3" xfId="20566"/>
    <cellStyle name="Normalny 2 2 3 4" xfId="20563"/>
    <cellStyle name="Normalny 2 2 4" xfId="20567"/>
    <cellStyle name="Normalny 2 2 4 2" xfId="20568"/>
    <cellStyle name="Normalny 2 2 5" xfId="20569"/>
    <cellStyle name="Normalny 2 2 5 2" xfId="20570"/>
    <cellStyle name="Normalny 2 2 6" xfId="20571"/>
    <cellStyle name="Normalny 2 2 6 2" xfId="20572"/>
    <cellStyle name="Normalny 2 2 7" xfId="20573"/>
    <cellStyle name="Normalny 2 2 7 2" xfId="20574"/>
    <cellStyle name="Normalny 2 2 8" xfId="20575"/>
    <cellStyle name="Normalny 2 2 8 2" xfId="20576"/>
    <cellStyle name="Normalny 2 2 9" xfId="20577"/>
    <cellStyle name="Normalny 2 2 9 2" xfId="20578"/>
    <cellStyle name="Normalny 2 20" xfId="20579"/>
    <cellStyle name="Normalny 2 20 2" xfId="20580"/>
    <cellStyle name="Normalny 2 20 3" xfId="20581"/>
    <cellStyle name="Normalny 2 21" xfId="20582"/>
    <cellStyle name="Normalny 2 21 2" xfId="20583"/>
    <cellStyle name="Normalny 2 21 3" xfId="20584"/>
    <cellStyle name="Normalny 2 22" xfId="20585"/>
    <cellStyle name="Normalny 2 22 2" xfId="20586"/>
    <cellStyle name="Normalny 2 22 3" xfId="20587"/>
    <cellStyle name="Normalny 2 23" xfId="20588"/>
    <cellStyle name="Normalny 2 23 2" xfId="20589"/>
    <cellStyle name="Normalny 2 23 3" xfId="20590"/>
    <cellStyle name="Normalny 2 24" xfId="20591"/>
    <cellStyle name="Normalny 2 24 2" xfId="20592"/>
    <cellStyle name="Normalny 2 24 3" xfId="20593"/>
    <cellStyle name="Normalny 2 25" xfId="20594"/>
    <cellStyle name="Normalny 2 25 2" xfId="20595"/>
    <cellStyle name="Normalny 2 25 3" xfId="20596"/>
    <cellStyle name="Normalny 2 26" xfId="20597"/>
    <cellStyle name="Normalny 2 26 2" xfId="20598"/>
    <cellStyle name="Normalny 2 26 3" xfId="20599"/>
    <cellStyle name="Normalny 2 27" xfId="20600"/>
    <cellStyle name="Normalny 2 27 2" xfId="20601"/>
    <cellStyle name="Normalny 2 28" xfId="20602"/>
    <cellStyle name="Normalny 2 29" xfId="20603"/>
    <cellStyle name="Normalny 2 3" xfId="20604"/>
    <cellStyle name="Normalny 2 3 2" xfId="20605"/>
    <cellStyle name="Normalny 2 3 2 2" xfId="20606"/>
    <cellStyle name="Normalny 2 3 2 3" xfId="20607"/>
    <cellStyle name="Normalny 2 3 3" xfId="20608"/>
    <cellStyle name="Normalny 2 3 3 2" xfId="20609"/>
    <cellStyle name="Normalny 2 3 4" xfId="20610"/>
    <cellStyle name="Normalny 2 3 5" xfId="20611"/>
    <cellStyle name="Normalny 2 3 6" xfId="20"/>
    <cellStyle name="Normalny 2 3 7" xfId="20612"/>
    <cellStyle name="Normalny 2 3 8" xfId="20613"/>
    <cellStyle name="Normalny 2 30" xfId="20614"/>
    <cellStyle name="Normalny 2 30 2" xfId="20615"/>
    <cellStyle name="Normalny 2 31" xfId="20616"/>
    <cellStyle name="Normalny 2 32" xfId="20617"/>
    <cellStyle name="Normalny 2 33" xfId="20618"/>
    <cellStyle name="Normalny 2 34" xfId="20508"/>
    <cellStyle name="Normalny 2 4" xfId="20619"/>
    <cellStyle name="Normalny 2 4 10" xfId="20620"/>
    <cellStyle name="Normalny 2 4 11" xfId="20621"/>
    <cellStyle name="Normalny 2 4 12" xfId="20622"/>
    <cellStyle name="Normalny 2 4 13" xfId="20623"/>
    <cellStyle name="Normalny 2 4 14" xfId="20624"/>
    <cellStyle name="Normalny 2 4 15" xfId="20625"/>
    <cellStyle name="Normalny 2 4 16" xfId="20626"/>
    <cellStyle name="Normalny 2 4 17" xfId="20627"/>
    <cellStyle name="Normalny 2 4 18" xfId="20628"/>
    <cellStyle name="Normalny 2 4 19" xfId="20629"/>
    <cellStyle name="Normalny 2 4 2" xfId="20630"/>
    <cellStyle name="Normalny 2 4 2 2" xfId="20631"/>
    <cellStyle name="Normalny 2 4 2 3" xfId="20632"/>
    <cellStyle name="Normalny 2 4 20" xfId="20633"/>
    <cellStyle name="Normalny 2 4 21" xfId="20634"/>
    <cellStyle name="Normalny 2 4 22" xfId="20635"/>
    <cellStyle name="Normalny 2 4 23" xfId="20636"/>
    <cellStyle name="Normalny 2 4 3" xfId="20637"/>
    <cellStyle name="Normalny 2 4 4" xfId="20638"/>
    <cellStyle name="Normalny 2 4 5" xfId="20639"/>
    <cellStyle name="Normalny 2 4 6" xfId="20640"/>
    <cellStyle name="Normalny 2 4 7" xfId="20641"/>
    <cellStyle name="Normalny 2 4 8" xfId="20642"/>
    <cellStyle name="Normalny 2 4 9" xfId="20643"/>
    <cellStyle name="Normalny 2 5" xfId="20644"/>
    <cellStyle name="Normalny 2 5 2" xfId="20645"/>
    <cellStyle name="Normalny 2 5 2 2" xfId="20646"/>
    <cellStyle name="Normalny 2 5 3" xfId="20647"/>
    <cellStyle name="Normalny 2 5 3 2" xfId="20648"/>
    <cellStyle name="Normalny 2 5 4" xfId="20649"/>
    <cellStyle name="Normalny 2 6" xfId="20650"/>
    <cellStyle name="Normalny 2 6 2" xfId="20651"/>
    <cellStyle name="Normalny 2 6 3" xfId="20652"/>
    <cellStyle name="Normalny 2 6 4" xfId="20653"/>
    <cellStyle name="Normalny 2 7" xfId="20654"/>
    <cellStyle name="Normalny 2 7 2" xfId="20655"/>
    <cellStyle name="Normalny 2 7 3" xfId="20656"/>
    <cellStyle name="Normalny 2 7 4" xfId="20657"/>
    <cellStyle name="Normalny 2 8" xfId="20658"/>
    <cellStyle name="Normalny 2 8 2" xfId="20659"/>
    <cellStyle name="Normalny 2 8 3" xfId="20660"/>
    <cellStyle name="Normalny 2 8 4" xfId="20661"/>
    <cellStyle name="Normalny 2 9" xfId="20662"/>
    <cellStyle name="Normalny 2 9 2" xfId="20663"/>
    <cellStyle name="Normalny 2 9 3" xfId="20664"/>
    <cellStyle name="Normalny 2 9 4" xfId="20665"/>
    <cellStyle name="Normalny 2_CHURN " xfId="20666"/>
    <cellStyle name="Normalny 20" xfId="20667"/>
    <cellStyle name="Normalny 20 2" xfId="20668"/>
    <cellStyle name="Normalny 20 2 2" xfId="20669"/>
    <cellStyle name="Normalny 20 2 3" xfId="20670"/>
    <cellStyle name="Normalny 20 3" xfId="20671"/>
    <cellStyle name="Normalny 20 4" xfId="20672"/>
    <cellStyle name="Normalny 20 5" xfId="20673"/>
    <cellStyle name="Normalny 20 6" xfId="20674"/>
    <cellStyle name="Normalny 21" xfId="20675"/>
    <cellStyle name="Normalny 21 2" xfId="20676"/>
    <cellStyle name="Normalny 21 2 2" xfId="20677"/>
    <cellStyle name="Normalny 21 2 3" xfId="20678"/>
    <cellStyle name="Normalny 21 3" xfId="20679"/>
    <cellStyle name="Normalny 21 4" xfId="20680"/>
    <cellStyle name="Normalny 21 5" xfId="20681"/>
    <cellStyle name="Normalny 21 6" xfId="20682"/>
    <cellStyle name="Normalny 22" xfId="20683"/>
    <cellStyle name="Normalny 22 2" xfId="20684"/>
    <cellStyle name="Normalny 22 2 2" xfId="20685"/>
    <cellStyle name="Normalny 22 2 3" xfId="20686"/>
    <cellStyle name="Normalny 22 3" xfId="20687"/>
    <cellStyle name="Normalny 22 4" xfId="20688"/>
    <cellStyle name="Normalny 22 5" xfId="20689"/>
    <cellStyle name="Normalny 22 6" xfId="20690"/>
    <cellStyle name="Normalny 23" xfId="20691"/>
    <cellStyle name="Normalny 23 2" xfId="20692"/>
    <cellStyle name="Normalny 23 2 2" xfId="20693"/>
    <cellStyle name="Normalny 23 2 3" xfId="20694"/>
    <cellStyle name="Normalny 23 3" xfId="20695"/>
    <cellStyle name="Normalny 23 4" xfId="20696"/>
    <cellStyle name="Normalny 23 5" xfId="20697"/>
    <cellStyle name="Normalny 23 6" xfId="20698"/>
    <cellStyle name="Normalny 24" xfId="20699"/>
    <cellStyle name="Normalny 24 2" xfId="20700"/>
    <cellStyle name="Normalny 24 2 2" xfId="20701"/>
    <cellStyle name="Normalny 24 2 3" xfId="20702"/>
    <cellStyle name="Normalny 24 3" xfId="20703"/>
    <cellStyle name="Normalny 24 4" xfId="20704"/>
    <cellStyle name="Normalny 24 5" xfId="20705"/>
    <cellStyle name="Normalny 24 6" xfId="20706"/>
    <cellStyle name="Normalny 25" xfId="20707"/>
    <cellStyle name="Normalny 25 2" xfId="20708"/>
    <cellStyle name="Normalny 25 3" xfId="20709"/>
    <cellStyle name="Normalny 25 4" xfId="20710"/>
    <cellStyle name="Normalny 26" xfId="20711"/>
    <cellStyle name="Normalny 26 2" xfId="20712"/>
    <cellStyle name="Normalny 26 3" xfId="20713"/>
    <cellStyle name="Normalny 26 4" xfId="20714"/>
    <cellStyle name="Normalny 27" xfId="20715"/>
    <cellStyle name="Normalny 27 2" xfId="20716"/>
    <cellStyle name="Normalny 27 3" xfId="20717"/>
    <cellStyle name="Normalny 27 4" xfId="20718"/>
    <cellStyle name="Normalny 28" xfId="20719"/>
    <cellStyle name="Normalny 28 2" xfId="20720"/>
    <cellStyle name="Normalny 28 3" xfId="20721"/>
    <cellStyle name="Normalny 28 4" xfId="20722"/>
    <cellStyle name="Normalny 29" xfId="20723"/>
    <cellStyle name="Normalny 29 2" xfId="20724"/>
    <cellStyle name="Normalny 29 2 2" xfId="20725"/>
    <cellStyle name="Normalny 29 2 3" xfId="20726"/>
    <cellStyle name="Normalny 29 3" xfId="20727"/>
    <cellStyle name="Normalny 29 4" xfId="20728"/>
    <cellStyle name="Normalny 3" xfId="20729"/>
    <cellStyle name="Normalny 3 10" xfId="20730"/>
    <cellStyle name="Normalny 3 10 2" xfId="20731"/>
    <cellStyle name="Normalny 3 11" xfId="20732"/>
    <cellStyle name="Normalny 3 2" xfId="20733"/>
    <cellStyle name="Normalny 3 2 10" xfId="20734"/>
    <cellStyle name="Normalny 3 2 11" xfId="20735"/>
    <cellStyle name="Normalny 3 2 12" xfId="20736"/>
    <cellStyle name="Normalny 3 2 13" xfId="20737"/>
    <cellStyle name="Normalny 3 2 14" xfId="20738"/>
    <cellStyle name="Normalny 3 2 15" xfId="20739"/>
    <cellStyle name="Normalny 3 2 16" xfId="20740"/>
    <cellStyle name="Normalny 3 2 17" xfId="20741"/>
    <cellStyle name="Normalny 3 2 18" xfId="20742"/>
    <cellStyle name="Normalny 3 2 19" xfId="20743"/>
    <cellStyle name="Normalny 3 2 2" xfId="20744"/>
    <cellStyle name="Normalny 3 2 2 2" xfId="20745"/>
    <cellStyle name="Normalny 3 2 20" xfId="20746"/>
    <cellStyle name="Normalny 3 2 21" xfId="20747"/>
    <cellStyle name="Normalny 3 2 22" xfId="20748"/>
    <cellStyle name="Normalny 3 2 23" xfId="20749"/>
    <cellStyle name="Normalny 3 2 24" xfId="20750"/>
    <cellStyle name="Normalny 3 2 3" xfId="20751"/>
    <cellStyle name="Normalny 3 2 4" xfId="20752"/>
    <cellStyle name="Normalny 3 2 5" xfId="20753"/>
    <cellStyle name="Normalny 3 2 6" xfId="20754"/>
    <cellStyle name="Normalny 3 2 7" xfId="20755"/>
    <cellStyle name="Normalny 3 2 8" xfId="20756"/>
    <cellStyle name="Normalny 3 2 9" xfId="20757"/>
    <cellStyle name="Normalny 3 3" xfId="20758"/>
    <cellStyle name="Normalny 3 3 10" xfId="20759"/>
    <cellStyle name="Normalny 3 3 11" xfId="20760"/>
    <cellStyle name="Normalny 3 3 12" xfId="20761"/>
    <cellStyle name="Normalny 3 3 13" xfId="20762"/>
    <cellStyle name="Normalny 3 3 14" xfId="20763"/>
    <cellStyle name="Normalny 3 3 15" xfId="20764"/>
    <cellStyle name="Normalny 3 3 16" xfId="20765"/>
    <cellStyle name="Normalny 3 3 17" xfId="20766"/>
    <cellStyle name="Normalny 3 3 18" xfId="20767"/>
    <cellStyle name="Normalny 3 3 19" xfId="20768"/>
    <cellStyle name="Normalny 3 3 2" xfId="20769"/>
    <cellStyle name="Normalny 3 3 2 2" xfId="20770"/>
    <cellStyle name="Normalny 3 3 20" xfId="20771"/>
    <cellStyle name="Normalny 3 3 21" xfId="20772"/>
    <cellStyle name="Normalny 3 3 3" xfId="20773"/>
    <cellStyle name="Normalny 3 3 4" xfId="20774"/>
    <cellStyle name="Normalny 3 3 5" xfId="20775"/>
    <cellStyle name="Normalny 3 3 6" xfId="20776"/>
    <cellStyle name="Normalny 3 3 7" xfId="20777"/>
    <cellStyle name="Normalny 3 3 8" xfId="20778"/>
    <cellStyle name="Normalny 3 3 9" xfId="20779"/>
    <cellStyle name="Normalny 3 4" xfId="20780"/>
    <cellStyle name="Normalny 3 4 2" xfId="20781"/>
    <cellStyle name="Normalny 3 4 2 2" xfId="20782"/>
    <cellStyle name="Normalny 3 4 3" xfId="20783"/>
    <cellStyle name="Normalny 3 4 4" xfId="20784"/>
    <cellStyle name="Normalny 3 4 5" xfId="20785"/>
    <cellStyle name="Normalny 3 4 6" xfId="20786"/>
    <cellStyle name="Normalny 3 5" xfId="20787"/>
    <cellStyle name="Normalny 3 5 2" xfId="20788"/>
    <cellStyle name="Normalny 3 5 3" xfId="20789"/>
    <cellStyle name="Normalny 3 6" xfId="20790"/>
    <cellStyle name="Normalny 3 6 2" xfId="20791"/>
    <cellStyle name="Normalny 3 6 3" xfId="20792"/>
    <cellStyle name="Normalny 3 7" xfId="20793"/>
    <cellStyle name="Normalny 3 7 2" xfId="20794"/>
    <cellStyle name="Normalny 3 7 3" xfId="20795"/>
    <cellStyle name="Normalny 3 8" xfId="20796"/>
    <cellStyle name="Normalny 3 8 2" xfId="20797"/>
    <cellStyle name="Normalny 3 8 3" xfId="20798"/>
    <cellStyle name="Normalny 3 9" xfId="20799"/>
    <cellStyle name="Normalny 3_CHURN " xfId="20800"/>
    <cellStyle name="Normalny 30" xfId="20801"/>
    <cellStyle name="Normalny 30 2" xfId="20802"/>
    <cellStyle name="Normalny 30 3" xfId="20803"/>
    <cellStyle name="Normalny 30 4" xfId="20804"/>
    <cellStyle name="Normalny 31" xfId="20805"/>
    <cellStyle name="Normalny 31 2" xfId="20806"/>
    <cellStyle name="Normalny 31 2 2" xfId="20807"/>
    <cellStyle name="Normalny 31 2 3" xfId="20808"/>
    <cellStyle name="Normalny 31 3" xfId="20809"/>
    <cellStyle name="Normalny 32" xfId="20810"/>
    <cellStyle name="Normalny 32 2" xfId="20811"/>
    <cellStyle name="Normalny 32 3" xfId="20812"/>
    <cellStyle name="Normalny 32 4" xfId="20813"/>
    <cellStyle name="Normalny 33" xfId="20814"/>
    <cellStyle name="Normalny 33 2" xfId="20815"/>
    <cellStyle name="Normalny 33 3" xfId="20816"/>
    <cellStyle name="Normalny 33 4" xfId="20817"/>
    <cellStyle name="Normalny 34" xfId="20818"/>
    <cellStyle name="Normalny 34 2" xfId="20819"/>
    <cellStyle name="Normalny 34 3" xfId="20820"/>
    <cellStyle name="Normalny 34 4" xfId="20821"/>
    <cellStyle name="Normalny 35" xfId="20822"/>
    <cellStyle name="Normalny 35 2" xfId="20823"/>
    <cellStyle name="Normalny 35 3" xfId="20824"/>
    <cellStyle name="Normalny 35 4" xfId="20825"/>
    <cellStyle name="Normalny 36" xfId="20826"/>
    <cellStyle name="Normalny 36 2" xfId="20827"/>
    <cellStyle name="Normalny 36 3" xfId="20828"/>
    <cellStyle name="Normalny 36 4" xfId="20829"/>
    <cellStyle name="Normalny 37" xfId="20830"/>
    <cellStyle name="Normalny 37 2" xfId="20831"/>
    <cellStyle name="Normalny 37 3" xfId="20832"/>
    <cellStyle name="Normalny 37 4" xfId="20833"/>
    <cellStyle name="Normalny 38" xfId="20834"/>
    <cellStyle name="Normalny 38 2" xfId="20835"/>
    <cellStyle name="Normalny 38 3" xfId="20836"/>
    <cellStyle name="Normalny 38 4" xfId="20837"/>
    <cellStyle name="Normalny 39" xfId="20838"/>
    <cellStyle name="Normalny 39 2" xfId="20839"/>
    <cellStyle name="Normalny 39 2 2" xfId="20840"/>
    <cellStyle name="Normalny 39 2 3" xfId="20841"/>
    <cellStyle name="Normalny 39 3" xfId="20842"/>
    <cellStyle name="Normalny 4" xfId="20843"/>
    <cellStyle name="Normalny 4 10" xfId="20844"/>
    <cellStyle name="Normalny 4 11" xfId="20845"/>
    <cellStyle name="Normalny 4 2" xfId="20846"/>
    <cellStyle name="Normalny 4 2 10" xfId="20847"/>
    <cellStyle name="Normalny 4 2 2" xfId="20848"/>
    <cellStyle name="Normalny 4 2 2 2" xfId="20849"/>
    <cellStyle name="Normalny 4 2 2 3" xfId="20850"/>
    <cellStyle name="Normalny 4 2 2 4" xfId="20851"/>
    <cellStyle name="Normalny 4 2 2 5" xfId="20852"/>
    <cellStyle name="Normalny 4 2 3" xfId="20853"/>
    <cellStyle name="Normalny 4 2 4" xfId="20854"/>
    <cellStyle name="Normalny 4 2 5" xfId="20855"/>
    <cellStyle name="Normalny 4 2 6" xfId="20856"/>
    <cellStyle name="Normalny 4 2 7" xfId="20857"/>
    <cellStyle name="Normalny 4 2 8" xfId="20858"/>
    <cellStyle name="Normalny 4 2 9" xfId="20859"/>
    <cellStyle name="Normalny 4 3" xfId="20860"/>
    <cellStyle name="Normalny 4 3 2" xfId="20861"/>
    <cellStyle name="Normalny 4 3 2 2" xfId="20862"/>
    <cellStyle name="Normalny 4 3 3" xfId="20863"/>
    <cellStyle name="Normalny 4 3 4" xfId="20864"/>
    <cellStyle name="Normalny 4 4" xfId="20865"/>
    <cellStyle name="Normalny 4 4 2" xfId="20866"/>
    <cellStyle name="Normalny 4 4 3" xfId="20867"/>
    <cellStyle name="Normalny 4 4 4" xfId="20868"/>
    <cellStyle name="Normalny 4 5" xfId="20869"/>
    <cellStyle name="Normalny 4 5 2" xfId="20870"/>
    <cellStyle name="Normalny 4 5 3" xfId="20871"/>
    <cellStyle name="Normalny 4 5 4" xfId="20872"/>
    <cellStyle name="Normalny 4 6" xfId="20873"/>
    <cellStyle name="Normalny 4 6 2" xfId="20874"/>
    <cellStyle name="Normalny 4 6 3" xfId="20875"/>
    <cellStyle name="Normalny 4 6 4" xfId="20876"/>
    <cellStyle name="Normalny 4 6 5" xfId="20877"/>
    <cellStyle name="Normalny 4 7" xfId="20878"/>
    <cellStyle name="Normalny 4 7 2" xfId="20879"/>
    <cellStyle name="Normalny 4 8" xfId="20880"/>
    <cellStyle name="Normalny 4 9" xfId="20881"/>
    <cellStyle name="Normalny 4_CHURN " xfId="20882"/>
    <cellStyle name="Normalny 40" xfId="20883"/>
    <cellStyle name="Normalny 40 2" xfId="20884"/>
    <cellStyle name="Normalny 40 2 2" xfId="20885"/>
    <cellStyle name="Normalny 40 2 3" xfId="20886"/>
    <cellStyle name="Normalny 40 3" xfId="20887"/>
    <cellStyle name="Normalny 40 4" xfId="20888"/>
    <cellStyle name="Normalny 41" xfId="20889"/>
    <cellStyle name="Normalny 41 2" xfId="20890"/>
    <cellStyle name="Normalny 41 2 2" xfId="20891"/>
    <cellStyle name="Normalny 41 3" xfId="20892"/>
    <cellStyle name="Normalny 42" xfId="20893"/>
    <cellStyle name="Normalny 42 2" xfId="20894"/>
    <cellStyle name="Normalny 42 2 2" xfId="20895"/>
    <cellStyle name="Normalny 42 3" xfId="20896"/>
    <cellStyle name="Normalny 43" xfId="20897"/>
    <cellStyle name="Normalny 43 2" xfId="20898"/>
    <cellStyle name="Normalny 43 2 2" xfId="20899"/>
    <cellStyle name="Normalny 43 3" xfId="20900"/>
    <cellStyle name="Normalny 44" xfId="20901"/>
    <cellStyle name="Normalny 44 2" xfId="20902"/>
    <cellStyle name="Normalny 44 2 2" xfId="20903"/>
    <cellStyle name="Normalny 44 3" xfId="20904"/>
    <cellStyle name="Normalny 44 4" xfId="20905"/>
    <cellStyle name="Normalny 45" xfId="20906"/>
    <cellStyle name="Normalny 45 2" xfId="20907"/>
    <cellStyle name="Normalny 45 2 2" xfId="20908"/>
    <cellStyle name="Normalny 45 3" xfId="20909"/>
    <cellStyle name="Normalny 45 4" xfId="20910"/>
    <cellStyle name="Normalny 46" xfId="20911"/>
    <cellStyle name="Normalny 46 2" xfId="20912"/>
    <cellStyle name="Normalny 46 2 2" xfId="20913"/>
    <cellStyle name="Normalny 46 3" xfId="20914"/>
    <cellStyle name="Normalny 46 4" xfId="20915"/>
    <cellStyle name="Normalny 47" xfId="13"/>
    <cellStyle name="Normalny 47 2" xfId="20916"/>
    <cellStyle name="Normalny 47 2 2" xfId="20917"/>
    <cellStyle name="Normalny 47 3" xfId="20918"/>
    <cellStyle name="Normalny 47 4" xfId="20919"/>
    <cellStyle name="Normalny 48" xfId="20920"/>
    <cellStyle name="Normalny 48 2" xfId="20921"/>
    <cellStyle name="Normalny 48 3" xfId="20922"/>
    <cellStyle name="Normalny 48 4" xfId="20923"/>
    <cellStyle name="Normalny 49" xfId="20924"/>
    <cellStyle name="Normalny 49 2" xfId="20925"/>
    <cellStyle name="Normalny 49 3" xfId="20926"/>
    <cellStyle name="Normalny 49 4" xfId="20927"/>
    <cellStyle name="Normalny 5" xfId="20928"/>
    <cellStyle name="Normalny 5 10" xfId="20929"/>
    <cellStyle name="Normalny 5 10 2" xfId="20930"/>
    <cellStyle name="Normalny 5 10 3" xfId="20931"/>
    <cellStyle name="Normalny 5 11" xfId="20932"/>
    <cellStyle name="Normalny 5 11 2" xfId="20933"/>
    <cellStyle name="Normalny 5 12" xfId="20934"/>
    <cellStyle name="Normalny 5 13" xfId="20935"/>
    <cellStyle name="Normalny 5 14" xfId="20936"/>
    <cellStyle name="Normalny 5 15" xfId="20937"/>
    <cellStyle name="Normalny 5 16" xfId="20938"/>
    <cellStyle name="Normalny 5 17" xfId="20939"/>
    <cellStyle name="Normalny 5 18" xfId="20940"/>
    <cellStyle name="Normalny 5 19" xfId="20941"/>
    <cellStyle name="Normalny 5 2" xfId="20942"/>
    <cellStyle name="Normalny 5 2 10" xfId="20943"/>
    <cellStyle name="Normalny 5 2 11" xfId="20944"/>
    <cellStyle name="Normalny 5 2 12" xfId="20945"/>
    <cellStyle name="Normalny 5 2 13" xfId="20946"/>
    <cellStyle name="Normalny 5 2 14" xfId="20947"/>
    <cellStyle name="Normalny 5 2 15" xfId="20948"/>
    <cellStyle name="Normalny 5 2 16" xfId="20949"/>
    <cellStyle name="Normalny 5 2 17" xfId="20950"/>
    <cellStyle name="Normalny 5 2 18" xfId="20951"/>
    <cellStyle name="Normalny 5 2 19" xfId="20952"/>
    <cellStyle name="Normalny 5 2 2" xfId="20953"/>
    <cellStyle name="Normalny 5 2 2 2" xfId="20954"/>
    <cellStyle name="Normalny 5 2 2 3" xfId="20955"/>
    <cellStyle name="Normalny 5 2 20" xfId="20956"/>
    <cellStyle name="Normalny 5 2 21" xfId="20957"/>
    <cellStyle name="Normalny 5 2 22" xfId="20958"/>
    <cellStyle name="Normalny 5 2 3" xfId="20959"/>
    <cellStyle name="Normalny 5 2 4" xfId="20960"/>
    <cellStyle name="Normalny 5 2 5" xfId="20961"/>
    <cellStyle name="Normalny 5 2 6" xfId="20962"/>
    <cellStyle name="Normalny 5 2 7" xfId="20963"/>
    <cellStyle name="Normalny 5 2 8" xfId="20964"/>
    <cellStyle name="Normalny 5 2 9" xfId="20965"/>
    <cellStyle name="Normalny 5 20" xfId="20966"/>
    <cellStyle name="Normalny 5 21" xfId="20967"/>
    <cellStyle name="Normalny 5 22" xfId="20968"/>
    <cellStyle name="Normalny 5 23" xfId="20969"/>
    <cellStyle name="Normalny 5 3" xfId="20970"/>
    <cellStyle name="Normalny 5 3 2" xfId="20971"/>
    <cellStyle name="Normalny 5 3 2 2" xfId="20972"/>
    <cellStyle name="Normalny 5 3 3" xfId="20973"/>
    <cellStyle name="Normalny 5 4" xfId="20974"/>
    <cellStyle name="Normalny 5 4 2" xfId="20975"/>
    <cellStyle name="Normalny 5 4 3" xfId="20976"/>
    <cellStyle name="Normalny 5 5" xfId="20977"/>
    <cellStyle name="Normalny 5 5 2" xfId="20978"/>
    <cellStyle name="Normalny 5 6" xfId="20979"/>
    <cellStyle name="Normalny 5 6 2" xfId="20980"/>
    <cellStyle name="Normalny 5 7" xfId="20981"/>
    <cellStyle name="Normalny 5 7 2" xfId="20982"/>
    <cellStyle name="Normalny 5 8" xfId="20983"/>
    <cellStyle name="Normalny 5 8 2" xfId="20984"/>
    <cellStyle name="Normalny 5 9" xfId="20985"/>
    <cellStyle name="Normalny 5 9 2" xfId="20986"/>
    <cellStyle name="Normalny 5_CHURN " xfId="20987"/>
    <cellStyle name="Normalny 50" xfId="20988"/>
    <cellStyle name="Normalny 50 2" xfId="20989"/>
    <cellStyle name="Normalny 50 3" xfId="20990"/>
    <cellStyle name="Normalny 50 4" xfId="20991"/>
    <cellStyle name="Normalny 51" xfId="20992"/>
    <cellStyle name="Normalny 51 2" xfId="20993"/>
    <cellStyle name="Normalny 51 3" xfId="20994"/>
    <cellStyle name="Normalny 51 4" xfId="20995"/>
    <cellStyle name="Normalny 52" xfId="20996"/>
    <cellStyle name="Normalny 52 2" xfId="20997"/>
    <cellStyle name="Normalny 52 3" xfId="20998"/>
    <cellStyle name="Normalny 52 4" xfId="20999"/>
    <cellStyle name="Normalny 53" xfId="21000"/>
    <cellStyle name="Normalny 53 2" xfId="21001"/>
    <cellStyle name="Normalny 53 3" xfId="21002"/>
    <cellStyle name="Normalny 53 4" xfId="21003"/>
    <cellStyle name="Normalny 54" xfId="21004"/>
    <cellStyle name="Normalny 54 2" xfId="21005"/>
    <cellStyle name="Normalny 54 3" xfId="21006"/>
    <cellStyle name="Normalny 54 4" xfId="21007"/>
    <cellStyle name="Normalny 55" xfId="21008"/>
    <cellStyle name="Normalny 55 2" xfId="21009"/>
    <cellStyle name="Normalny 55 3" xfId="21010"/>
    <cellStyle name="Normalny 55 4" xfId="21011"/>
    <cellStyle name="Normalny 56" xfId="21012"/>
    <cellStyle name="Normalny 56 2" xfId="21013"/>
    <cellStyle name="Normalny 56 3" xfId="21014"/>
    <cellStyle name="Normalny 56 4" xfId="21015"/>
    <cellStyle name="Normalny 57" xfId="21016"/>
    <cellStyle name="Normalny 57 2" xfId="21017"/>
    <cellStyle name="Normalny 57 3" xfId="21018"/>
    <cellStyle name="Normalny 57 4" xfId="21019"/>
    <cellStyle name="Normalny 58" xfId="21020"/>
    <cellStyle name="Normalny 58 2" xfId="21021"/>
    <cellStyle name="Normalny 58 3" xfId="21022"/>
    <cellStyle name="Normalny 58 4" xfId="21023"/>
    <cellStyle name="Normalny 59" xfId="21024"/>
    <cellStyle name="Normalny 59 2" xfId="21025"/>
    <cellStyle name="Normalny 6" xfId="21026"/>
    <cellStyle name="Normalny 6 10" xfId="21027"/>
    <cellStyle name="Normalny 6 10 2" xfId="21028"/>
    <cellStyle name="Normalny 6 10 3" xfId="21029"/>
    <cellStyle name="Normalny 6 11" xfId="21030"/>
    <cellStyle name="Normalny 6 11 2" xfId="21031"/>
    <cellStyle name="Normalny 6 12" xfId="21032"/>
    <cellStyle name="Normalny 6 12 2" xfId="21033"/>
    <cellStyle name="Normalny 6 12 3" xfId="21034"/>
    <cellStyle name="Normalny 6 13" xfId="21035"/>
    <cellStyle name="Normalny 6 13 2" xfId="21036"/>
    <cellStyle name="Normalny 6 14" xfId="21037"/>
    <cellStyle name="Normalny 6 15" xfId="21038"/>
    <cellStyle name="Normalny 6 16" xfId="21039"/>
    <cellStyle name="Normalny 6 17" xfId="21040"/>
    <cellStyle name="Normalny 6 18" xfId="21041"/>
    <cellStyle name="Normalny 6 19" xfId="21042"/>
    <cellStyle name="Normalny 6 2" xfId="21043"/>
    <cellStyle name="Normalny 6 2 10" xfId="21044"/>
    <cellStyle name="Normalny 6 2 10 2" xfId="21045"/>
    <cellStyle name="Normalny 6 2 11" xfId="21046"/>
    <cellStyle name="Normalny 6 2 11 2" xfId="21047"/>
    <cellStyle name="Normalny 6 2 12" xfId="21048"/>
    <cellStyle name="Normalny 6 2 12 2" xfId="21049"/>
    <cellStyle name="Normalny 6 2 13" xfId="21050"/>
    <cellStyle name="Normalny 6 2 14" xfId="21051"/>
    <cellStyle name="Normalny 6 2 15" xfId="21052"/>
    <cellStyle name="Normalny 6 2 16" xfId="21053"/>
    <cellStyle name="Normalny 6 2 17" xfId="21054"/>
    <cellStyle name="Normalny 6 2 18" xfId="21055"/>
    <cellStyle name="Normalny 6 2 19" xfId="21056"/>
    <cellStyle name="Normalny 6 2 2" xfId="21057"/>
    <cellStyle name="Normalny 6 2 2 2" xfId="21058"/>
    <cellStyle name="Normalny 6 2 2 2 2" xfId="21059"/>
    <cellStyle name="Normalny 6 2 2 3" xfId="21060"/>
    <cellStyle name="Normalny 6 2 20" xfId="21061"/>
    <cellStyle name="Normalny 6 2 21" xfId="21062"/>
    <cellStyle name="Normalny 6 2 22" xfId="21063"/>
    <cellStyle name="Normalny 6 2 23" xfId="21064"/>
    <cellStyle name="Normalny 6 2 24" xfId="21065"/>
    <cellStyle name="Normalny 6 2 3" xfId="21066"/>
    <cellStyle name="Normalny 6 2 3 2" xfId="21067"/>
    <cellStyle name="Normalny 6 2 3 3" xfId="21068"/>
    <cellStyle name="Normalny 6 2 4" xfId="21069"/>
    <cellStyle name="Normalny 6 2 4 2" xfId="21070"/>
    <cellStyle name="Normalny 6 2 5" xfId="21071"/>
    <cellStyle name="Normalny 6 2 5 2" xfId="21072"/>
    <cellStyle name="Normalny 6 2 6" xfId="21073"/>
    <cellStyle name="Normalny 6 2 6 2" xfId="21074"/>
    <cellStyle name="Normalny 6 2 7" xfId="21075"/>
    <cellStyle name="Normalny 6 2 7 2" xfId="21076"/>
    <cellStyle name="Normalny 6 2 8" xfId="21077"/>
    <cellStyle name="Normalny 6 2 8 2" xfId="21078"/>
    <cellStyle name="Normalny 6 2 9" xfId="21079"/>
    <cellStyle name="Normalny 6 2 9 2" xfId="21080"/>
    <cellStyle name="Normalny 6 3" xfId="21081"/>
    <cellStyle name="Normalny 6 3 10" xfId="21082"/>
    <cellStyle name="Normalny 6 3 11" xfId="21083"/>
    <cellStyle name="Normalny 6 3 12" xfId="21084"/>
    <cellStyle name="Normalny 6 3 13" xfId="21085"/>
    <cellStyle name="Normalny 6 3 14" xfId="21086"/>
    <cellStyle name="Normalny 6 3 15" xfId="21087"/>
    <cellStyle name="Normalny 6 3 16" xfId="21088"/>
    <cellStyle name="Normalny 6 3 17" xfId="21089"/>
    <cellStyle name="Normalny 6 3 18" xfId="21090"/>
    <cellStyle name="Normalny 6 3 19" xfId="21091"/>
    <cellStyle name="Normalny 6 3 2" xfId="21092"/>
    <cellStyle name="Normalny 6 3 2 2" xfId="21093"/>
    <cellStyle name="Normalny 6 3 20" xfId="21094"/>
    <cellStyle name="Normalny 6 3 21" xfId="21095"/>
    <cellStyle name="Normalny 6 3 22" xfId="21096"/>
    <cellStyle name="Normalny 6 3 23" xfId="21097"/>
    <cellStyle name="Normalny 6 3 24" xfId="21098"/>
    <cellStyle name="Normalny 6 3 3" xfId="21099"/>
    <cellStyle name="Normalny 6 3 4" xfId="21100"/>
    <cellStyle name="Normalny 6 3 5" xfId="21101"/>
    <cellStyle name="Normalny 6 3 6" xfId="21102"/>
    <cellStyle name="Normalny 6 3 7" xfId="21103"/>
    <cellStyle name="Normalny 6 3 8" xfId="21104"/>
    <cellStyle name="Normalny 6 3 9" xfId="21105"/>
    <cellStyle name="Normalny 6 4" xfId="21106"/>
    <cellStyle name="Normalny 6 4 2" xfId="21107"/>
    <cellStyle name="Normalny 6 4 2 2" xfId="21108"/>
    <cellStyle name="Normalny 6 4 3" xfId="21109"/>
    <cellStyle name="Normalny 6 4 4" xfId="21110"/>
    <cellStyle name="Normalny 6 4 5" xfId="21111"/>
    <cellStyle name="Normalny 6 5" xfId="21112"/>
    <cellStyle name="Normalny 6 5 2" xfId="21113"/>
    <cellStyle name="Normalny 6 5 2 2" xfId="21114"/>
    <cellStyle name="Normalny 6 5 3" xfId="21115"/>
    <cellStyle name="Normalny 6 5 4" xfId="21116"/>
    <cellStyle name="Normalny 6 5 5" xfId="21117"/>
    <cellStyle name="Normalny 6 6" xfId="21118"/>
    <cellStyle name="Normalny 6 6 2" xfId="21119"/>
    <cellStyle name="Normalny 6 6 2 2" xfId="21120"/>
    <cellStyle name="Normalny 6 6 3" xfId="21121"/>
    <cellStyle name="Normalny 6 6 4" xfId="21122"/>
    <cellStyle name="Normalny 6 6 5" xfId="21123"/>
    <cellStyle name="Normalny 6 7" xfId="21124"/>
    <cellStyle name="Normalny 6 7 2" xfId="21125"/>
    <cellStyle name="Normalny 6 7 3" xfId="21126"/>
    <cellStyle name="Normalny 6 8" xfId="21127"/>
    <cellStyle name="Normalny 6 8 2" xfId="21128"/>
    <cellStyle name="Normalny 6 8 3" xfId="21129"/>
    <cellStyle name="Normalny 6 9" xfId="21130"/>
    <cellStyle name="Normalny 6 9 2" xfId="21131"/>
    <cellStyle name="Normalny 6 9 3" xfId="21132"/>
    <cellStyle name="Normalny 6_CHURN " xfId="21133"/>
    <cellStyle name="Normalny 60" xfId="21134"/>
    <cellStyle name="Normalny 60 2" xfId="21135"/>
    <cellStyle name="Normalny 60 3" xfId="21136"/>
    <cellStyle name="Normalny 61" xfId="21137"/>
    <cellStyle name="Normalny 61 2" xfId="21138"/>
    <cellStyle name="Normalny 61 3" xfId="21139"/>
    <cellStyle name="Normalny 62" xfId="21140"/>
    <cellStyle name="Normalny 62 2" xfId="21141"/>
    <cellStyle name="Normalny 62 3" xfId="21142"/>
    <cellStyle name="Normalny 63" xfId="21143"/>
    <cellStyle name="Normalny 63 2" xfId="21144"/>
    <cellStyle name="Normalny 63 2 2" xfId="21145"/>
    <cellStyle name="Normalny 63 3" xfId="21146"/>
    <cellStyle name="Normalny 63 4" xfId="21147"/>
    <cellStyle name="Normalny 64" xfId="21148"/>
    <cellStyle name="Normalny 64 2" xfId="21149"/>
    <cellStyle name="Normalny 64 3" xfId="21150"/>
    <cellStyle name="Normalny 65" xfId="21151"/>
    <cellStyle name="Normalny 65 2" xfId="21152"/>
    <cellStyle name="Normalny 65 3" xfId="21153"/>
    <cellStyle name="Normalny 66" xfId="5"/>
    <cellStyle name="Normalny 66 2" xfId="21155"/>
    <cellStyle name="Normalny 66 3" xfId="21154"/>
    <cellStyle name="Normalny 67" xfId="21156"/>
    <cellStyle name="Normalny 67 2" xfId="21157"/>
    <cellStyle name="Normalny 68" xfId="21158"/>
    <cellStyle name="Normalny 68 2" xfId="21159"/>
    <cellStyle name="Normalny 69" xfId="21160"/>
    <cellStyle name="Normalny 69 2" xfId="21161"/>
    <cellStyle name="Normalny 7" xfId="21162"/>
    <cellStyle name="Normalny 7 10" xfId="21163"/>
    <cellStyle name="Normalny 7 11" xfId="21164"/>
    <cellStyle name="Normalny 7 12" xfId="21165"/>
    <cellStyle name="Normalny 7 13" xfId="21166"/>
    <cellStyle name="Normalny 7 14" xfId="21167"/>
    <cellStyle name="Normalny 7 2" xfId="21168"/>
    <cellStyle name="Normalny 7 2 2" xfId="21169"/>
    <cellStyle name="Normalny 7 2 2 2" xfId="21170"/>
    <cellStyle name="Normalny 7 2 3" xfId="21171"/>
    <cellStyle name="Normalny 7 2 4" xfId="21172"/>
    <cellStyle name="Normalny 7 2 5" xfId="21173"/>
    <cellStyle name="Normalny 7 2 6" xfId="21174"/>
    <cellStyle name="Normalny 7 3" xfId="21175"/>
    <cellStyle name="Normalny 7 3 2" xfId="21176"/>
    <cellStyle name="Normalny 7 3 2 2" xfId="21177"/>
    <cellStyle name="Normalny 7 3 3" xfId="21178"/>
    <cellStyle name="Normalny 7 3 4" xfId="21179"/>
    <cellStyle name="Normalny 7 3 5" xfId="21180"/>
    <cellStyle name="Normalny 7 4" xfId="21181"/>
    <cellStyle name="Normalny 7 4 2" xfId="21182"/>
    <cellStyle name="Normalny 7 5" xfId="21183"/>
    <cellStyle name="Normalny 7 5 2" xfId="21184"/>
    <cellStyle name="Normalny 7 6" xfId="21185"/>
    <cellStyle name="Normalny 7 7" xfId="21186"/>
    <cellStyle name="Normalny 7 8" xfId="21187"/>
    <cellStyle name="Normalny 7 9" xfId="21188"/>
    <cellStyle name="Normalny 7_CHURN " xfId="21189"/>
    <cellStyle name="Normalny 70" xfId="21190"/>
    <cellStyle name="Normalny 70 2" xfId="21191"/>
    <cellStyle name="Normalny 71" xfId="21192"/>
    <cellStyle name="Normalny 71 2" xfId="21193"/>
    <cellStyle name="Normalny 72" xfId="21194"/>
    <cellStyle name="Normalny 72 2" xfId="21195"/>
    <cellStyle name="Normalny 73" xfId="21196"/>
    <cellStyle name="Normalny 73 2" xfId="21197"/>
    <cellStyle name="Normalny 74" xfId="21198"/>
    <cellStyle name="Normalny 74 2" xfId="21199"/>
    <cellStyle name="Normalny 75" xfId="21200"/>
    <cellStyle name="Normalny 75 2" xfId="21201"/>
    <cellStyle name="Normalny 76" xfId="21202"/>
    <cellStyle name="Normalny 76 2" xfId="21203"/>
    <cellStyle name="Normalny 77" xfId="21204"/>
    <cellStyle name="Normalny 77 2" xfId="21205"/>
    <cellStyle name="Normalny 78" xfId="21206"/>
    <cellStyle name="Normalny 78 2" xfId="21207"/>
    <cellStyle name="Normalny 79" xfId="21208"/>
    <cellStyle name="Normalny 79 2" xfId="21209"/>
    <cellStyle name="Normalny 8" xfId="21210"/>
    <cellStyle name="Normalny 8 10" xfId="21211"/>
    <cellStyle name="Normalny 8 11" xfId="21212"/>
    <cellStyle name="Normalny 8 12" xfId="21213"/>
    <cellStyle name="Normalny 8 13" xfId="21214"/>
    <cellStyle name="Normalny 8 13 2" xfId="21215"/>
    <cellStyle name="Normalny 8 14" xfId="21216"/>
    <cellStyle name="Normalny 8 2" xfId="21217"/>
    <cellStyle name="Normalny 8 2 10" xfId="21218"/>
    <cellStyle name="Normalny 8 2 11" xfId="21219"/>
    <cellStyle name="Normalny 8 2 12" xfId="21220"/>
    <cellStyle name="Normalny 8 2 13" xfId="21221"/>
    <cellStyle name="Normalny 8 2 14" xfId="21222"/>
    <cellStyle name="Normalny 8 2 15" xfId="21223"/>
    <cellStyle name="Normalny 8 2 16" xfId="21224"/>
    <cellStyle name="Normalny 8 2 17" xfId="21225"/>
    <cellStyle name="Normalny 8 2 18" xfId="21226"/>
    <cellStyle name="Normalny 8 2 19" xfId="21227"/>
    <cellStyle name="Normalny 8 2 2" xfId="21228"/>
    <cellStyle name="Normalny 8 2 2 2" xfId="21229"/>
    <cellStyle name="Normalny 8 2 20" xfId="21230"/>
    <cellStyle name="Normalny 8 2 21" xfId="21231"/>
    <cellStyle name="Normalny 8 2 22" xfId="21232"/>
    <cellStyle name="Normalny 8 2 23" xfId="21233"/>
    <cellStyle name="Normalny 8 2 24" xfId="21234"/>
    <cellStyle name="Normalny 8 2 3" xfId="21235"/>
    <cellStyle name="Normalny 8 2 4" xfId="21236"/>
    <cellStyle name="Normalny 8 2 5" xfId="21237"/>
    <cellStyle name="Normalny 8 2 6" xfId="21238"/>
    <cellStyle name="Normalny 8 2 7" xfId="21239"/>
    <cellStyle name="Normalny 8 2 8" xfId="21240"/>
    <cellStyle name="Normalny 8 2 9" xfId="21241"/>
    <cellStyle name="Normalny 8 3" xfId="21242"/>
    <cellStyle name="Normalny 8 3 2" xfId="21243"/>
    <cellStyle name="Normalny 8 3 2 2" xfId="21244"/>
    <cellStyle name="Normalny 8 3 3" xfId="21245"/>
    <cellStyle name="Normalny 8 3 4" xfId="21246"/>
    <cellStyle name="Normalny 8 3 5" xfId="21247"/>
    <cellStyle name="Normalny 8 4" xfId="21248"/>
    <cellStyle name="Normalny 8 4 2" xfId="21249"/>
    <cellStyle name="Normalny 8 5" xfId="21250"/>
    <cellStyle name="Normalny 8 5 2" xfId="21251"/>
    <cellStyle name="Normalny 8 6" xfId="21252"/>
    <cellStyle name="Normalny 8 7" xfId="21253"/>
    <cellStyle name="Normalny 8 8" xfId="21254"/>
    <cellStyle name="Normalny 8 9" xfId="21255"/>
    <cellStyle name="Normalny 8_CHURN " xfId="21256"/>
    <cellStyle name="Normalny 80" xfId="21257"/>
    <cellStyle name="Normalny 80 2" xfId="21258"/>
    <cellStyle name="Normalny 81" xfId="21259"/>
    <cellStyle name="Normalny 81 2" xfId="21260"/>
    <cellStyle name="Normalny 82" xfId="19"/>
    <cellStyle name="Normalny 82 2" xfId="21261"/>
    <cellStyle name="Normalny 83" xfId="21262"/>
    <cellStyle name="Normalny 83 2" xfId="21263"/>
    <cellStyle name="Normalny 84" xfId="21264"/>
    <cellStyle name="Normalny 84 2" xfId="21265"/>
    <cellStyle name="Normalny 85" xfId="21266"/>
    <cellStyle name="Normalny 85 2" xfId="21267"/>
    <cellStyle name="Normalny 86" xfId="21268"/>
    <cellStyle name="Normalny 86 2" xfId="21269"/>
    <cellStyle name="Normalny 87" xfId="21270"/>
    <cellStyle name="Normalny 87 2" xfId="21271"/>
    <cellStyle name="Normalny 88" xfId="21272"/>
    <cellStyle name="Normalny 88 2" xfId="21273"/>
    <cellStyle name="Normalny 89" xfId="21274"/>
    <cellStyle name="Normalny 89 2" xfId="21275"/>
    <cellStyle name="Normalny 9" xfId="21276"/>
    <cellStyle name="Normalny 9 2" xfId="21277"/>
    <cellStyle name="Normalny 9 2 2" xfId="21278"/>
    <cellStyle name="Normalny 9 3" xfId="21279"/>
    <cellStyle name="Normalny 9 3 2" xfId="21280"/>
    <cellStyle name="Normalny 9 4" xfId="21281"/>
    <cellStyle name="Normalny 9 5" xfId="21282"/>
    <cellStyle name="Normalny 9 5 2" xfId="21283"/>
    <cellStyle name="Normalny 9 6" xfId="21284"/>
    <cellStyle name="Normalny 90" xfId="21285"/>
    <cellStyle name="Normalny 90 2" xfId="21286"/>
    <cellStyle name="Normalny 91" xfId="21287"/>
    <cellStyle name="Normalny 91 2" xfId="21288"/>
    <cellStyle name="Normalny 92" xfId="21289"/>
    <cellStyle name="Normalny 92 2" xfId="21290"/>
    <cellStyle name="Normalny 93" xfId="21291"/>
    <cellStyle name="Normalny 93 2" xfId="21292"/>
    <cellStyle name="Normalny 94" xfId="21293"/>
    <cellStyle name="Normalny 94 2" xfId="21294"/>
    <cellStyle name="Normalny 95" xfId="21295"/>
    <cellStyle name="Normalny 95 2" xfId="21296"/>
    <cellStyle name="Normalny 96" xfId="21297"/>
    <cellStyle name="Normalny 96 2" xfId="21298"/>
    <cellStyle name="Normalny 97" xfId="21299"/>
    <cellStyle name="Normalny 97 2" xfId="21300"/>
    <cellStyle name="Normalny 98" xfId="21301"/>
    <cellStyle name="Normalny 98 2" xfId="21302"/>
    <cellStyle name="Normalny 99" xfId="21303"/>
    <cellStyle name="Normalny 99 2" xfId="21304"/>
    <cellStyle name="Note 2" xfId="21305"/>
    <cellStyle name="Note 3" xfId="21306"/>
    <cellStyle name="NoteMark" xfId="21307"/>
    <cellStyle name="Obliczenia 2" xfId="21308"/>
    <cellStyle name="Obliczenia 2 10" xfId="21309"/>
    <cellStyle name="Obliczenia 2 10 10" xfId="21310"/>
    <cellStyle name="Obliczenia 2 10 10 2" xfId="21311"/>
    <cellStyle name="Obliczenia 2 10 10 3" xfId="21312"/>
    <cellStyle name="Obliczenia 2 10 10 4" xfId="21313"/>
    <cellStyle name="Obliczenia 2 10 11" xfId="21314"/>
    <cellStyle name="Obliczenia 2 10 11 2" xfId="21315"/>
    <cellStyle name="Obliczenia 2 10 11 3" xfId="21316"/>
    <cellStyle name="Obliczenia 2 10 11 4" xfId="21317"/>
    <cellStyle name="Obliczenia 2 10 12" xfId="21318"/>
    <cellStyle name="Obliczenia 2 10 12 2" xfId="21319"/>
    <cellStyle name="Obliczenia 2 10 12 3" xfId="21320"/>
    <cellStyle name="Obliczenia 2 10 12 4" xfId="21321"/>
    <cellStyle name="Obliczenia 2 10 13" xfId="21322"/>
    <cellStyle name="Obliczenia 2 10 13 2" xfId="21323"/>
    <cellStyle name="Obliczenia 2 10 13 3" xfId="21324"/>
    <cellStyle name="Obliczenia 2 10 13 4" xfId="21325"/>
    <cellStyle name="Obliczenia 2 10 14" xfId="21326"/>
    <cellStyle name="Obliczenia 2 10 14 2" xfId="21327"/>
    <cellStyle name="Obliczenia 2 10 14 3" xfId="21328"/>
    <cellStyle name="Obliczenia 2 10 14 4" xfId="21329"/>
    <cellStyle name="Obliczenia 2 10 15" xfId="21330"/>
    <cellStyle name="Obliczenia 2 10 15 2" xfId="21331"/>
    <cellStyle name="Obliczenia 2 10 15 3" xfId="21332"/>
    <cellStyle name="Obliczenia 2 10 15 4" xfId="21333"/>
    <cellStyle name="Obliczenia 2 10 16" xfId="21334"/>
    <cellStyle name="Obliczenia 2 10 16 2" xfId="21335"/>
    <cellStyle name="Obliczenia 2 10 16 3" xfId="21336"/>
    <cellStyle name="Obliczenia 2 10 16 4" xfId="21337"/>
    <cellStyle name="Obliczenia 2 10 17" xfId="21338"/>
    <cellStyle name="Obliczenia 2 10 17 2" xfId="21339"/>
    <cellStyle name="Obliczenia 2 10 17 3" xfId="21340"/>
    <cellStyle name="Obliczenia 2 10 17 4" xfId="21341"/>
    <cellStyle name="Obliczenia 2 10 18" xfId="21342"/>
    <cellStyle name="Obliczenia 2 10 18 2" xfId="21343"/>
    <cellStyle name="Obliczenia 2 10 18 3" xfId="21344"/>
    <cellStyle name="Obliczenia 2 10 18 4" xfId="21345"/>
    <cellStyle name="Obliczenia 2 10 19" xfId="21346"/>
    <cellStyle name="Obliczenia 2 10 19 2" xfId="21347"/>
    <cellStyle name="Obliczenia 2 10 19 3" xfId="21348"/>
    <cellStyle name="Obliczenia 2 10 19 4" xfId="21349"/>
    <cellStyle name="Obliczenia 2 10 2" xfId="21350"/>
    <cellStyle name="Obliczenia 2 10 2 2" xfId="21351"/>
    <cellStyle name="Obliczenia 2 10 2 3" xfId="21352"/>
    <cellStyle name="Obliczenia 2 10 2 4" xfId="21353"/>
    <cellStyle name="Obliczenia 2 10 20" xfId="21354"/>
    <cellStyle name="Obliczenia 2 10 20 2" xfId="21355"/>
    <cellStyle name="Obliczenia 2 10 20 3" xfId="21356"/>
    <cellStyle name="Obliczenia 2 10 20 4" xfId="21357"/>
    <cellStyle name="Obliczenia 2 10 21" xfId="21358"/>
    <cellStyle name="Obliczenia 2 10 21 2" xfId="21359"/>
    <cellStyle name="Obliczenia 2 10 21 3" xfId="21360"/>
    <cellStyle name="Obliczenia 2 10 22" xfId="21361"/>
    <cellStyle name="Obliczenia 2 10 22 2" xfId="21362"/>
    <cellStyle name="Obliczenia 2 10 22 3" xfId="21363"/>
    <cellStyle name="Obliczenia 2 10 23" xfId="21364"/>
    <cellStyle name="Obliczenia 2 10 23 2" xfId="21365"/>
    <cellStyle name="Obliczenia 2 10 23 3" xfId="21366"/>
    <cellStyle name="Obliczenia 2 10 24" xfId="21367"/>
    <cellStyle name="Obliczenia 2 10 24 2" xfId="21368"/>
    <cellStyle name="Obliczenia 2 10 24 3" xfId="21369"/>
    <cellStyle name="Obliczenia 2 10 25" xfId="21370"/>
    <cellStyle name="Obliczenia 2 10 25 2" xfId="21371"/>
    <cellStyle name="Obliczenia 2 10 25 3" xfId="21372"/>
    <cellStyle name="Obliczenia 2 10 26" xfId="21373"/>
    <cellStyle name="Obliczenia 2 10 26 2" xfId="21374"/>
    <cellStyle name="Obliczenia 2 10 26 3" xfId="21375"/>
    <cellStyle name="Obliczenia 2 10 27" xfId="21376"/>
    <cellStyle name="Obliczenia 2 10 27 2" xfId="21377"/>
    <cellStyle name="Obliczenia 2 10 27 3" xfId="21378"/>
    <cellStyle name="Obliczenia 2 10 28" xfId="21379"/>
    <cellStyle name="Obliczenia 2 10 28 2" xfId="21380"/>
    <cellStyle name="Obliczenia 2 10 28 3" xfId="21381"/>
    <cellStyle name="Obliczenia 2 10 29" xfId="21382"/>
    <cellStyle name="Obliczenia 2 10 29 2" xfId="21383"/>
    <cellStyle name="Obliczenia 2 10 29 3" xfId="21384"/>
    <cellStyle name="Obliczenia 2 10 3" xfId="21385"/>
    <cellStyle name="Obliczenia 2 10 3 2" xfId="21386"/>
    <cellStyle name="Obliczenia 2 10 3 3" xfId="21387"/>
    <cellStyle name="Obliczenia 2 10 3 4" xfId="21388"/>
    <cellStyle name="Obliczenia 2 10 30" xfId="21389"/>
    <cellStyle name="Obliczenia 2 10 30 2" xfId="21390"/>
    <cellStyle name="Obliczenia 2 10 30 3" xfId="21391"/>
    <cellStyle name="Obliczenia 2 10 31" xfId="21392"/>
    <cellStyle name="Obliczenia 2 10 31 2" xfId="21393"/>
    <cellStyle name="Obliczenia 2 10 31 3" xfId="21394"/>
    <cellStyle name="Obliczenia 2 10 32" xfId="21395"/>
    <cellStyle name="Obliczenia 2 10 32 2" xfId="21396"/>
    <cellStyle name="Obliczenia 2 10 32 3" xfId="21397"/>
    <cellStyle name="Obliczenia 2 10 33" xfId="21398"/>
    <cellStyle name="Obliczenia 2 10 33 2" xfId="21399"/>
    <cellStyle name="Obliczenia 2 10 33 3" xfId="21400"/>
    <cellStyle name="Obliczenia 2 10 34" xfId="21401"/>
    <cellStyle name="Obliczenia 2 10 34 2" xfId="21402"/>
    <cellStyle name="Obliczenia 2 10 34 3" xfId="21403"/>
    <cellStyle name="Obliczenia 2 10 35" xfId="21404"/>
    <cellStyle name="Obliczenia 2 10 35 2" xfId="21405"/>
    <cellStyle name="Obliczenia 2 10 35 3" xfId="21406"/>
    <cellStyle name="Obliczenia 2 10 36" xfId="21407"/>
    <cellStyle name="Obliczenia 2 10 36 2" xfId="21408"/>
    <cellStyle name="Obliczenia 2 10 36 3" xfId="21409"/>
    <cellStyle name="Obliczenia 2 10 37" xfId="21410"/>
    <cellStyle name="Obliczenia 2 10 37 2" xfId="21411"/>
    <cellStyle name="Obliczenia 2 10 37 3" xfId="21412"/>
    <cellStyle name="Obliczenia 2 10 38" xfId="21413"/>
    <cellStyle name="Obliczenia 2 10 38 2" xfId="21414"/>
    <cellStyle name="Obliczenia 2 10 38 3" xfId="21415"/>
    <cellStyle name="Obliczenia 2 10 39" xfId="21416"/>
    <cellStyle name="Obliczenia 2 10 39 2" xfId="21417"/>
    <cellStyle name="Obliczenia 2 10 39 3" xfId="21418"/>
    <cellStyle name="Obliczenia 2 10 4" xfId="21419"/>
    <cellStyle name="Obliczenia 2 10 4 2" xfId="21420"/>
    <cellStyle name="Obliczenia 2 10 4 3" xfId="21421"/>
    <cellStyle name="Obliczenia 2 10 4 4" xfId="21422"/>
    <cellStyle name="Obliczenia 2 10 40" xfId="21423"/>
    <cellStyle name="Obliczenia 2 10 40 2" xfId="21424"/>
    <cellStyle name="Obliczenia 2 10 40 3" xfId="21425"/>
    <cellStyle name="Obliczenia 2 10 41" xfId="21426"/>
    <cellStyle name="Obliczenia 2 10 41 2" xfId="21427"/>
    <cellStyle name="Obliczenia 2 10 41 3" xfId="21428"/>
    <cellStyle name="Obliczenia 2 10 42" xfId="21429"/>
    <cellStyle name="Obliczenia 2 10 42 2" xfId="21430"/>
    <cellStyle name="Obliczenia 2 10 42 3" xfId="21431"/>
    <cellStyle name="Obliczenia 2 10 43" xfId="21432"/>
    <cellStyle name="Obliczenia 2 10 43 2" xfId="21433"/>
    <cellStyle name="Obliczenia 2 10 43 3" xfId="21434"/>
    <cellStyle name="Obliczenia 2 10 44" xfId="21435"/>
    <cellStyle name="Obliczenia 2 10 44 2" xfId="21436"/>
    <cellStyle name="Obliczenia 2 10 44 3" xfId="21437"/>
    <cellStyle name="Obliczenia 2 10 45" xfId="21438"/>
    <cellStyle name="Obliczenia 2 10 45 2" xfId="21439"/>
    <cellStyle name="Obliczenia 2 10 45 3" xfId="21440"/>
    <cellStyle name="Obliczenia 2 10 46" xfId="21441"/>
    <cellStyle name="Obliczenia 2 10 46 2" xfId="21442"/>
    <cellStyle name="Obliczenia 2 10 46 3" xfId="21443"/>
    <cellStyle name="Obliczenia 2 10 47" xfId="21444"/>
    <cellStyle name="Obliczenia 2 10 47 2" xfId="21445"/>
    <cellStyle name="Obliczenia 2 10 47 3" xfId="21446"/>
    <cellStyle name="Obliczenia 2 10 48" xfId="21447"/>
    <cellStyle name="Obliczenia 2 10 48 2" xfId="21448"/>
    <cellStyle name="Obliczenia 2 10 48 3" xfId="21449"/>
    <cellStyle name="Obliczenia 2 10 49" xfId="21450"/>
    <cellStyle name="Obliczenia 2 10 49 2" xfId="21451"/>
    <cellStyle name="Obliczenia 2 10 49 3" xfId="21452"/>
    <cellStyle name="Obliczenia 2 10 5" xfId="21453"/>
    <cellStyle name="Obliczenia 2 10 5 2" xfId="21454"/>
    <cellStyle name="Obliczenia 2 10 5 3" xfId="21455"/>
    <cellStyle name="Obliczenia 2 10 5 4" xfId="21456"/>
    <cellStyle name="Obliczenia 2 10 50" xfId="21457"/>
    <cellStyle name="Obliczenia 2 10 50 2" xfId="21458"/>
    <cellStyle name="Obliczenia 2 10 50 3" xfId="21459"/>
    <cellStyle name="Obliczenia 2 10 51" xfId="21460"/>
    <cellStyle name="Obliczenia 2 10 51 2" xfId="21461"/>
    <cellStyle name="Obliczenia 2 10 51 3" xfId="21462"/>
    <cellStyle name="Obliczenia 2 10 52" xfId="21463"/>
    <cellStyle name="Obliczenia 2 10 52 2" xfId="21464"/>
    <cellStyle name="Obliczenia 2 10 52 3" xfId="21465"/>
    <cellStyle name="Obliczenia 2 10 53" xfId="21466"/>
    <cellStyle name="Obliczenia 2 10 53 2" xfId="21467"/>
    <cellStyle name="Obliczenia 2 10 53 3" xfId="21468"/>
    <cellStyle name="Obliczenia 2 10 54" xfId="21469"/>
    <cellStyle name="Obliczenia 2 10 54 2" xfId="21470"/>
    <cellStyle name="Obliczenia 2 10 54 3" xfId="21471"/>
    <cellStyle name="Obliczenia 2 10 55" xfId="21472"/>
    <cellStyle name="Obliczenia 2 10 55 2" xfId="21473"/>
    <cellStyle name="Obliczenia 2 10 55 3" xfId="21474"/>
    <cellStyle name="Obliczenia 2 10 56" xfId="21475"/>
    <cellStyle name="Obliczenia 2 10 56 2" xfId="21476"/>
    <cellStyle name="Obliczenia 2 10 56 3" xfId="21477"/>
    <cellStyle name="Obliczenia 2 10 57" xfId="21478"/>
    <cellStyle name="Obliczenia 2 10 58" xfId="21479"/>
    <cellStyle name="Obliczenia 2 10 6" xfId="21480"/>
    <cellStyle name="Obliczenia 2 10 6 2" xfId="21481"/>
    <cellStyle name="Obliczenia 2 10 6 3" xfId="21482"/>
    <cellStyle name="Obliczenia 2 10 6 4" xfId="21483"/>
    <cellStyle name="Obliczenia 2 10 7" xfId="21484"/>
    <cellStyle name="Obliczenia 2 10 7 2" xfId="21485"/>
    <cellStyle name="Obliczenia 2 10 7 3" xfId="21486"/>
    <cellStyle name="Obliczenia 2 10 7 4" xfId="21487"/>
    <cellStyle name="Obliczenia 2 10 8" xfId="21488"/>
    <cellStyle name="Obliczenia 2 10 8 2" xfId="21489"/>
    <cellStyle name="Obliczenia 2 10 8 3" xfId="21490"/>
    <cellStyle name="Obliczenia 2 10 8 4" xfId="21491"/>
    <cellStyle name="Obliczenia 2 10 9" xfId="21492"/>
    <cellStyle name="Obliczenia 2 10 9 2" xfId="21493"/>
    <cellStyle name="Obliczenia 2 10 9 3" xfId="21494"/>
    <cellStyle name="Obliczenia 2 10 9 4" xfId="21495"/>
    <cellStyle name="Obliczenia 2 11" xfId="21496"/>
    <cellStyle name="Obliczenia 2 11 10" xfId="21497"/>
    <cellStyle name="Obliczenia 2 11 10 2" xfId="21498"/>
    <cellStyle name="Obliczenia 2 11 10 3" xfId="21499"/>
    <cellStyle name="Obliczenia 2 11 10 4" xfId="21500"/>
    <cellStyle name="Obliczenia 2 11 11" xfId="21501"/>
    <cellStyle name="Obliczenia 2 11 11 2" xfId="21502"/>
    <cellStyle name="Obliczenia 2 11 11 3" xfId="21503"/>
    <cellStyle name="Obliczenia 2 11 11 4" xfId="21504"/>
    <cellStyle name="Obliczenia 2 11 12" xfId="21505"/>
    <cellStyle name="Obliczenia 2 11 12 2" xfId="21506"/>
    <cellStyle name="Obliczenia 2 11 12 3" xfId="21507"/>
    <cellStyle name="Obliczenia 2 11 12 4" xfId="21508"/>
    <cellStyle name="Obliczenia 2 11 13" xfId="21509"/>
    <cellStyle name="Obliczenia 2 11 13 2" xfId="21510"/>
    <cellStyle name="Obliczenia 2 11 13 3" xfId="21511"/>
    <cellStyle name="Obliczenia 2 11 13 4" xfId="21512"/>
    <cellStyle name="Obliczenia 2 11 14" xfId="21513"/>
    <cellStyle name="Obliczenia 2 11 14 2" xfId="21514"/>
    <cellStyle name="Obliczenia 2 11 14 3" xfId="21515"/>
    <cellStyle name="Obliczenia 2 11 14 4" xfId="21516"/>
    <cellStyle name="Obliczenia 2 11 15" xfId="21517"/>
    <cellStyle name="Obliczenia 2 11 15 2" xfId="21518"/>
    <cellStyle name="Obliczenia 2 11 15 3" xfId="21519"/>
    <cellStyle name="Obliczenia 2 11 15 4" xfId="21520"/>
    <cellStyle name="Obliczenia 2 11 16" xfId="21521"/>
    <cellStyle name="Obliczenia 2 11 16 2" xfId="21522"/>
    <cellStyle name="Obliczenia 2 11 16 3" xfId="21523"/>
    <cellStyle name="Obliczenia 2 11 16 4" xfId="21524"/>
    <cellStyle name="Obliczenia 2 11 17" xfId="21525"/>
    <cellStyle name="Obliczenia 2 11 17 2" xfId="21526"/>
    <cellStyle name="Obliczenia 2 11 17 3" xfId="21527"/>
    <cellStyle name="Obliczenia 2 11 17 4" xfId="21528"/>
    <cellStyle name="Obliczenia 2 11 18" xfId="21529"/>
    <cellStyle name="Obliczenia 2 11 18 2" xfId="21530"/>
    <cellStyle name="Obliczenia 2 11 18 3" xfId="21531"/>
    <cellStyle name="Obliczenia 2 11 18 4" xfId="21532"/>
    <cellStyle name="Obliczenia 2 11 19" xfId="21533"/>
    <cellStyle name="Obliczenia 2 11 19 2" xfId="21534"/>
    <cellStyle name="Obliczenia 2 11 19 3" xfId="21535"/>
    <cellStyle name="Obliczenia 2 11 19 4" xfId="21536"/>
    <cellStyle name="Obliczenia 2 11 2" xfId="21537"/>
    <cellStyle name="Obliczenia 2 11 2 2" xfId="21538"/>
    <cellStyle name="Obliczenia 2 11 2 3" xfId="21539"/>
    <cellStyle name="Obliczenia 2 11 2 4" xfId="21540"/>
    <cellStyle name="Obliczenia 2 11 20" xfId="21541"/>
    <cellStyle name="Obliczenia 2 11 20 2" xfId="21542"/>
    <cellStyle name="Obliczenia 2 11 20 3" xfId="21543"/>
    <cellStyle name="Obliczenia 2 11 20 4" xfId="21544"/>
    <cellStyle name="Obliczenia 2 11 21" xfId="21545"/>
    <cellStyle name="Obliczenia 2 11 21 2" xfId="21546"/>
    <cellStyle name="Obliczenia 2 11 21 3" xfId="21547"/>
    <cellStyle name="Obliczenia 2 11 22" xfId="21548"/>
    <cellStyle name="Obliczenia 2 11 22 2" xfId="21549"/>
    <cellStyle name="Obliczenia 2 11 22 3" xfId="21550"/>
    <cellStyle name="Obliczenia 2 11 23" xfId="21551"/>
    <cellStyle name="Obliczenia 2 11 23 2" xfId="21552"/>
    <cellStyle name="Obliczenia 2 11 23 3" xfId="21553"/>
    <cellStyle name="Obliczenia 2 11 24" xfId="21554"/>
    <cellStyle name="Obliczenia 2 11 24 2" xfId="21555"/>
    <cellStyle name="Obliczenia 2 11 24 3" xfId="21556"/>
    <cellStyle name="Obliczenia 2 11 25" xfId="21557"/>
    <cellStyle name="Obliczenia 2 11 25 2" xfId="21558"/>
    <cellStyle name="Obliczenia 2 11 25 3" xfId="21559"/>
    <cellStyle name="Obliczenia 2 11 26" xfId="21560"/>
    <cellStyle name="Obliczenia 2 11 26 2" xfId="21561"/>
    <cellStyle name="Obliczenia 2 11 26 3" xfId="21562"/>
    <cellStyle name="Obliczenia 2 11 27" xfId="21563"/>
    <cellStyle name="Obliczenia 2 11 27 2" xfId="21564"/>
    <cellStyle name="Obliczenia 2 11 27 3" xfId="21565"/>
    <cellStyle name="Obliczenia 2 11 28" xfId="21566"/>
    <cellStyle name="Obliczenia 2 11 28 2" xfId="21567"/>
    <cellStyle name="Obliczenia 2 11 28 3" xfId="21568"/>
    <cellStyle name="Obliczenia 2 11 29" xfId="21569"/>
    <cellStyle name="Obliczenia 2 11 29 2" xfId="21570"/>
    <cellStyle name="Obliczenia 2 11 29 3" xfId="21571"/>
    <cellStyle name="Obliczenia 2 11 3" xfId="21572"/>
    <cellStyle name="Obliczenia 2 11 3 2" xfId="21573"/>
    <cellStyle name="Obliczenia 2 11 3 3" xfId="21574"/>
    <cellStyle name="Obliczenia 2 11 3 4" xfId="21575"/>
    <cellStyle name="Obliczenia 2 11 30" xfId="21576"/>
    <cellStyle name="Obliczenia 2 11 30 2" xfId="21577"/>
    <cellStyle name="Obliczenia 2 11 30 3" xfId="21578"/>
    <cellStyle name="Obliczenia 2 11 31" xfId="21579"/>
    <cellStyle name="Obliczenia 2 11 31 2" xfId="21580"/>
    <cellStyle name="Obliczenia 2 11 31 3" xfId="21581"/>
    <cellStyle name="Obliczenia 2 11 32" xfId="21582"/>
    <cellStyle name="Obliczenia 2 11 32 2" xfId="21583"/>
    <cellStyle name="Obliczenia 2 11 32 3" xfId="21584"/>
    <cellStyle name="Obliczenia 2 11 33" xfId="21585"/>
    <cellStyle name="Obliczenia 2 11 33 2" xfId="21586"/>
    <cellStyle name="Obliczenia 2 11 33 3" xfId="21587"/>
    <cellStyle name="Obliczenia 2 11 34" xfId="21588"/>
    <cellStyle name="Obliczenia 2 11 34 2" xfId="21589"/>
    <cellStyle name="Obliczenia 2 11 34 3" xfId="21590"/>
    <cellStyle name="Obliczenia 2 11 35" xfId="21591"/>
    <cellStyle name="Obliczenia 2 11 35 2" xfId="21592"/>
    <cellStyle name="Obliczenia 2 11 35 3" xfId="21593"/>
    <cellStyle name="Obliczenia 2 11 36" xfId="21594"/>
    <cellStyle name="Obliczenia 2 11 36 2" xfId="21595"/>
    <cellStyle name="Obliczenia 2 11 36 3" xfId="21596"/>
    <cellStyle name="Obliczenia 2 11 37" xfId="21597"/>
    <cellStyle name="Obliczenia 2 11 37 2" xfId="21598"/>
    <cellStyle name="Obliczenia 2 11 37 3" xfId="21599"/>
    <cellStyle name="Obliczenia 2 11 38" xfId="21600"/>
    <cellStyle name="Obliczenia 2 11 38 2" xfId="21601"/>
    <cellStyle name="Obliczenia 2 11 38 3" xfId="21602"/>
    <cellStyle name="Obliczenia 2 11 39" xfId="21603"/>
    <cellStyle name="Obliczenia 2 11 39 2" xfId="21604"/>
    <cellStyle name="Obliczenia 2 11 39 3" xfId="21605"/>
    <cellStyle name="Obliczenia 2 11 4" xfId="21606"/>
    <cellStyle name="Obliczenia 2 11 4 2" xfId="21607"/>
    <cellStyle name="Obliczenia 2 11 4 3" xfId="21608"/>
    <cellStyle name="Obliczenia 2 11 4 4" xfId="21609"/>
    <cellStyle name="Obliczenia 2 11 40" xfId="21610"/>
    <cellStyle name="Obliczenia 2 11 40 2" xfId="21611"/>
    <cellStyle name="Obliczenia 2 11 40 3" xfId="21612"/>
    <cellStyle name="Obliczenia 2 11 41" xfId="21613"/>
    <cellStyle name="Obliczenia 2 11 41 2" xfId="21614"/>
    <cellStyle name="Obliczenia 2 11 41 3" xfId="21615"/>
    <cellStyle name="Obliczenia 2 11 42" xfId="21616"/>
    <cellStyle name="Obliczenia 2 11 42 2" xfId="21617"/>
    <cellStyle name="Obliczenia 2 11 42 3" xfId="21618"/>
    <cellStyle name="Obliczenia 2 11 43" xfId="21619"/>
    <cellStyle name="Obliczenia 2 11 43 2" xfId="21620"/>
    <cellStyle name="Obliczenia 2 11 43 3" xfId="21621"/>
    <cellStyle name="Obliczenia 2 11 44" xfId="21622"/>
    <cellStyle name="Obliczenia 2 11 44 2" xfId="21623"/>
    <cellStyle name="Obliczenia 2 11 44 3" xfId="21624"/>
    <cellStyle name="Obliczenia 2 11 45" xfId="21625"/>
    <cellStyle name="Obliczenia 2 11 45 2" xfId="21626"/>
    <cellStyle name="Obliczenia 2 11 45 3" xfId="21627"/>
    <cellStyle name="Obliczenia 2 11 46" xfId="21628"/>
    <cellStyle name="Obliczenia 2 11 46 2" xfId="21629"/>
    <cellStyle name="Obliczenia 2 11 46 3" xfId="21630"/>
    <cellStyle name="Obliczenia 2 11 47" xfId="21631"/>
    <cellStyle name="Obliczenia 2 11 47 2" xfId="21632"/>
    <cellStyle name="Obliczenia 2 11 47 3" xfId="21633"/>
    <cellStyle name="Obliczenia 2 11 48" xfId="21634"/>
    <cellStyle name="Obliczenia 2 11 48 2" xfId="21635"/>
    <cellStyle name="Obliczenia 2 11 48 3" xfId="21636"/>
    <cellStyle name="Obliczenia 2 11 49" xfId="21637"/>
    <cellStyle name="Obliczenia 2 11 49 2" xfId="21638"/>
    <cellStyle name="Obliczenia 2 11 49 3" xfId="21639"/>
    <cellStyle name="Obliczenia 2 11 5" xfId="21640"/>
    <cellStyle name="Obliczenia 2 11 5 2" xfId="21641"/>
    <cellStyle name="Obliczenia 2 11 5 3" xfId="21642"/>
    <cellStyle name="Obliczenia 2 11 5 4" xfId="21643"/>
    <cellStyle name="Obliczenia 2 11 50" xfId="21644"/>
    <cellStyle name="Obliczenia 2 11 50 2" xfId="21645"/>
    <cellStyle name="Obliczenia 2 11 50 3" xfId="21646"/>
    <cellStyle name="Obliczenia 2 11 51" xfId="21647"/>
    <cellStyle name="Obliczenia 2 11 51 2" xfId="21648"/>
    <cellStyle name="Obliczenia 2 11 51 3" xfId="21649"/>
    <cellStyle name="Obliczenia 2 11 52" xfId="21650"/>
    <cellStyle name="Obliczenia 2 11 52 2" xfId="21651"/>
    <cellStyle name="Obliczenia 2 11 52 3" xfId="21652"/>
    <cellStyle name="Obliczenia 2 11 53" xfId="21653"/>
    <cellStyle name="Obliczenia 2 11 53 2" xfId="21654"/>
    <cellStyle name="Obliczenia 2 11 53 3" xfId="21655"/>
    <cellStyle name="Obliczenia 2 11 54" xfId="21656"/>
    <cellStyle name="Obliczenia 2 11 54 2" xfId="21657"/>
    <cellStyle name="Obliczenia 2 11 54 3" xfId="21658"/>
    <cellStyle name="Obliczenia 2 11 55" xfId="21659"/>
    <cellStyle name="Obliczenia 2 11 55 2" xfId="21660"/>
    <cellStyle name="Obliczenia 2 11 55 3" xfId="21661"/>
    <cellStyle name="Obliczenia 2 11 56" xfId="21662"/>
    <cellStyle name="Obliczenia 2 11 56 2" xfId="21663"/>
    <cellStyle name="Obliczenia 2 11 56 3" xfId="21664"/>
    <cellStyle name="Obliczenia 2 11 57" xfId="21665"/>
    <cellStyle name="Obliczenia 2 11 58" xfId="21666"/>
    <cellStyle name="Obliczenia 2 11 6" xfId="21667"/>
    <cellStyle name="Obliczenia 2 11 6 2" xfId="21668"/>
    <cellStyle name="Obliczenia 2 11 6 3" xfId="21669"/>
    <cellStyle name="Obliczenia 2 11 6 4" xfId="21670"/>
    <cellStyle name="Obliczenia 2 11 7" xfId="21671"/>
    <cellStyle name="Obliczenia 2 11 7 2" xfId="21672"/>
    <cellStyle name="Obliczenia 2 11 7 3" xfId="21673"/>
    <cellStyle name="Obliczenia 2 11 7 4" xfId="21674"/>
    <cellStyle name="Obliczenia 2 11 8" xfId="21675"/>
    <cellStyle name="Obliczenia 2 11 8 2" xfId="21676"/>
    <cellStyle name="Obliczenia 2 11 8 3" xfId="21677"/>
    <cellStyle name="Obliczenia 2 11 8 4" xfId="21678"/>
    <cellStyle name="Obliczenia 2 11 9" xfId="21679"/>
    <cellStyle name="Obliczenia 2 11 9 2" xfId="21680"/>
    <cellStyle name="Obliczenia 2 11 9 3" xfId="21681"/>
    <cellStyle name="Obliczenia 2 11 9 4" xfId="21682"/>
    <cellStyle name="Obliczenia 2 12" xfId="21683"/>
    <cellStyle name="Obliczenia 2 12 10" xfId="21684"/>
    <cellStyle name="Obliczenia 2 12 10 2" xfId="21685"/>
    <cellStyle name="Obliczenia 2 12 10 3" xfId="21686"/>
    <cellStyle name="Obliczenia 2 12 10 4" xfId="21687"/>
    <cellStyle name="Obliczenia 2 12 11" xfId="21688"/>
    <cellStyle name="Obliczenia 2 12 11 2" xfId="21689"/>
    <cellStyle name="Obliczenia 2 12 11 3" xfId="21690"/>
    <cellStyle name="Obliczenia 2 12 11 4" xfId="21691"/>
    <cellStyle name="Obliczenia 2 12 12" xfId="21692"/>
    <cellStyle name="Obliczenia 2 12 12 2" xfId="21693"/>
    <cellStyle name="Obliczenia 2 12 12 3" xfId="21694"/>
    <cellStyle name="Obliczenia 2 12 12 4" xfId="21695"/>
    <cellStyle name="Obliczenia 2 12 13" xfId="21696"/>
    <cellStyle name="Obliczenia 2 12 13 2" xfId="21697"/>
    <cellStyle name="Obliczenia 2 12 13 3" xfId="21698"/>
    <cellStyle name="Obliczenia 2 12 13 4" xfId="21699"/>
    <cellStyle name="Obliczenia 2 12 14" xfId="21700"/>
    <cellStyle name="Obliczenia 2 12 14 2" xfId="21701"/>
    <cellStyle name="Obliczenia 2 12 14 3" xfId="21702"/>
    <cellStyle name="Obliczenia 2 12 14 4" xfId="21703"/>
    <cellStyle name="Obliczenia 2 12 15" xfId="21704"/>
    <cellStyle name="Obliczenia 2 12 15 2" xfId="21705"/>
    <cellStyle name="Obliczenia 2 12 15 3" xfId="21706"/>
    <cellStyle name="Obliczenia 2 12 15 4" xfId="21707"/>
    <cellStyle name="Obliczenia 2 12 16" xfId="21708"/>
    <cellStyle name="Obliczenia 2 12 16 2" xfId="21709"/>
    <cellStyle name="Obliczenia 2 12 16 3" xfId="21710"/>
    <cellStyle name="Obliczenia 2 12 16 4" xfId="21711"/>
    <cellStyle name="Obliczenia 2 12 17" xfId="21712"/>
    <cellStyle name="Obliczenia 2 12 17 2" xfId="21713"/>
    <cellStyle name="Obliczenia 2 12 17 3" xfId="21714"/>
    <cellStyle name="Obliczenia 2 12 17 4" xfId="21715"/>
    <cellStyle name="Obliczenia 2 12 18" xfId="21716"/>
    <cellStyle name="Obliczenia 2 12 18 2" xfId="21717"/>
    <cellStyle name="Obliczenia 2 12 18 3" xfId="21718"/>
    <cellStyle name="Obliczenia 2 12 18 4" xfId="21719"/>
    <cellStyle name="Obliczenia 2 12 19" xfId="21720"/>
    <cellStyle name="Obliczenia 2 12 19 2" xfId="21721"/>
    <cellStyle name="Obliczenia 2 12 19 3" xfId="21722"/>
    <cellStyle name="Obliczenia 2 12 19 4" xfId="21723"/>
    <cellStyle name="Obliczenia 2 12 2" xfId="21724"/>
    <cellStyle name="Obliczenia 2 12 2 2" xfId="21725"/>
    <cellStyle name="Obliczenia 2 12 2 3" xfId="21726"/>
    <cellStyle name="Obliczenia 2 12 2 4" xfId="21727"/>
    <cellStyle name="Obliczenia 2 12 20" xfId="21728"/>
    <cellStyle name="Obliczenia 2 12 20 2" xfId="21729"/>
    <cellStyle name="Obliczenia 2 12 20 3" xfId="21730"/>
    <cellStyle name="Obliczenia 2 12 20 4" xfId="21731"/>
    <cellStyle name="Obliczenia 2 12 21" xfId="21732"/>
    <cellStyle name="Obliczenia 2 12 21 2" xfId="21733"/>
    <cellStyle name="Obliczenia 2 12 21 3" xfId="21734"/>
    <cellStyle name="Obliczenia 2 12 22" xfId="21735"/>
    <cellStyle name="Obliczenia 2 12 22 2" xfId="21736"/>
    <cellStyle name="Obliczenia 2 12 22 3" xfId="21737"/>
    <cellStyle name="Obliczenia 2 12 23" xfId="21738"/>
    <cellStyle name="Obliczenia 2 12 23 2" xfId="21739"/>
    <cellStyle name="Obliczenia 2 12 23 3" xfId="21740"/>
    <cellStyle name="Obliczenia 2 12 24" xfId="21741"/>
    <cellStyle name="Obliczenia 2 12 24 2" xfId="21742"/>
    <cellStyle name="Obliczenia 2 12 24 3" xfId="21743"/>
    <cellStyle name="Obliczenia 2 12 25" xfId="21744"/>
    <cellStyle name="Obliczenia 2 12 25 2" xfId="21745"/>
    <cellStyle name="Obliczenia 2 12 25 3" xfId="21746"/>
    <cellStyle name="Obliczenia 2 12 26" xfId="21747"/>
    <cellStyle name="Obliczenia 2 12 26 2" xfId="21748"/>
    <cellStyle name="Obliczenia 2 12 26 3" xfId="21749"/>
    <cellStyle name="Obliczenia 2 12 27" xfId="21750"/>
    <cellStyle name="Obliczenia 2 12 27 2" xfId="21751"/>
    <cellStyle name="Obliczenia 2 12 27 3" xfId="21752"/>
    <cellStyle name="Obliczenia 2 12 28" xfId="21753"/>
    <cellStyle name="Obliczenia 2 12 28 2" xfId="21754"/>
    <cellStyle name="Obliczenia 2 12 28 3" xfId="21755"/>
    <cellStyle name="Obliczenia 2 12 29" xfId="21756"/>
    <cellStyle name="Obliczenia 2 12 29 2" xfId="21757"/>
    <cellStyle name="Obliczenia 2 12 29 3" xfId="21758"/>
    <cellStyle name="Obliczenia 2 12 3" xfId="21759"/>
    <cellStyle name="Obliczenia 2 12 3 2" xfId="21760"/>
    <cellStyle name="Obliczenia 2 12 3 3" xfId="21761"/>
    <cellStyle name="Obliczenia 2 12 3 4" xfId="21762"/>
    <cellStyle name="Obliczenia 2 12 30" xfId="21763"/>
    <cellStyle name="Obliczenia 2 12 30 2" xfId="21764"/>
    <cellStyle name="Obliczenia 2 12 30 3" xfId="21765"/>
    <cellStyle name="Obliczenia 2 12 31" xfId="21766"/>
    <cellStyle name="Obliczenia 2 12 31 2" xfId="21767"/>
    <cellStyle name="Obliczenia 2 12 31 3" xfId="21768"/>
    <cellStyle name="Obliczenia 2 12 32" xfId="21769"/>
    <cellStyle name="Obliczenia 2 12 32 2" xfId="21770"/>
    <cellStyle name="Obliczenia 2 12 32 3" xfId="21771"/>
    <cellStyle name="Obliczenia 2 12 33" xfId="21772"/>
    <cellStyle name="Obliczenia 2 12 33 2" xfId="21773"/>
    <cellStyle name="Obliczenia 2 12 33 3" xfId="21774"/>
    <cellStyle name="Obliczenia 2 12 34" xfId="21775"/>
    <cellStyle name="Obliczenia 2 12 34 2" xfId="21776"/>
    <cellStyle name="Obliczenia 2 12 34 3" xfId="21777"/>
    <cellStyle name="Obliczenia 2 12 35" xfId="21778"/>
    <cellStyle name="Obliczenia 2 12 35 2" xfId="21779"/>
    <cellStyle name="Obliczenia 2 12 35 3" xfId="21780"/>
    <cellStyle name="Obliczenia 2 12 36" xfId="21781"/>
    <cellStyle name="Obliczenia 2 12 36 2" xfId="21782"/>
    <cellStyle name="Obliczenia 2 12 36 3" xfId="21783"/>
    <cellStyle name="Obliczenia 2 12 37" xfId="21784"/>
    <cellStyle name="Obliczenia 2 12 37 2" xfId="21785"/>
    <cellStyle name="Obliczenia 2 12 37 3" xfId="21786"/>
    <cellStyle name="Obliczenia 2 12 38" xfId="21787"/>
    <cellStyle name="Obliczenia 2 12 38 2" xfId="21788"/>
    <cellStyle name="Obliczenia 2 12 38 3" xfId="21789"/>
    <cellStyle name="Obliczenia 2 12 39" xfId="21790"/>
    <cellStyle name="Obliczenia 2 12 39 2" xfId="21791"/>
    <cellStyle name="Obliczenia 2 12 39 3" xfId="21792"/>
    <cellStyle name="Obliczenia 2 12 4" xfId="21793"/>
    <cellStyle name="Obliczenia 2 12 4 2" xfId="21794"/>
    <cellStyle name="Obliczenia 2 12 4 3" xfId="21795"/>
    <cellStyle name="Obliczenia 2 12 4 4" xfId="21796"/>
    <cellStyle name="Obliczenia 2 12 40" xfId="21797"/>
    <cellStyle name="Obliczenia 2 12 40 2" xfId="21798"/>
    <cellStyle name="Obliczenia 2 12 40 3" xfId="21799"/>
    <cellStyle name="Obliczenia 2 12 41" xfId="21800"/>
    <cellStyle name="Obliczenia 2 12 41 2" xfId="21801"/>
    <cellStyle name="Obliczenia 2 12 41 3" xfId="21802"/>
    <cellStyle name="Obliczenia 2 12 42" xfId="21803"/>
    <cellStyle name="Obliczenia 2 12 42 2" xfId="21804"/>
    <cellStyle name="Obliczenia 2 12 42 3" xfId="21805"/>
    <cellStyle name="Obliczenia 2 12 43" xfId="21806"/>
    <cellStyle name="Obliczenia 2 12 43 2" xfId="21807"/>
    <cellStyle name="Obliczenia 2 12 43 3" xfId="21808"/>
    <cellStyle name="Obliczenia 2 12 44" xfId="21809"/>
    <cellStyle name="Obliczenia 2 12 44 2" xfId="21810"/>
    <cellStyle name="Obliczenia 2 12 44 3" xfId="21811"/>
    <cellStyle name="Obliczenia 2 12 45" xfId="21812"/>
    <cellStyle name="Obliczenia 2 12 45 2" xfId="21813"/>
    <cellStyle name="Obliczenia 2 12 45 3" xfId="21814"/>
    <cellStyle name="Obliczenia 2 12 46" xfId="21815"/>
    <cellStyle name="Obliczenia 2 12 46 2" xfId="21816"/>
    <cellStyle name="Obliczenia 2 12 46 3" xfId="21817"/>
    <cellStyle name="Obliczenia 2 12 47" xfId="21818"/>
    <cellStyle name="Obliczenia 2 12 47 2" xfId="21819"/>
    <cellStyle name="Obliczenia 2 12 47 3" xfId="21820"/>
    <cellStyle name="Obliczenia 2 12 48" xfId="21821"/>
    <cellStyle name="Obliczenia 2 12 48 2" xfId="21822"/>
    <cellStyle name="Obliczenia 2 12 48 3" xfId="21823"/>
    <cellStyle name="Obliczenia 2 12 49" xfId="21824"/>
    <cellStyle name="Obliczenia 2 12 49 2" xfId="21825"/>
    <cellStyle name="Obliczenia 2 12 49 3" xfId="21826"/>
    <cellStyle name="Obliczenia 2 12 5" xfId="21827"/>
    <cellStyle name="Obliczenia 2 12 5 2" xfId="21828"/>
    <cellStyle name="Obliczenia 2 12 5 3" xfId="21829"/>
    <cellStyle name="Obliczenia 2 12 5 4" xfId="21830"/>
    <cellStyle name="Obliczenia 2 12 50" xfId="21831"/>
    <cellStyle name="Obliczenia 2 12 50 2" xfId="21832"/>
    <cellStyle name="Obliczenia 2 12 50 3" xfId="21833"/>
    <cellStyle name="Obliczenia 2 12 51" xfId="21834"/>
    <cellStyle name="Obliczenia 2 12 51 2" xfId="21835"/>
    <cellStyle name="Obliczenia 2 12 51 3" xfId="21836"/>
    <cellStyle name="Obliczenia 2 12 52" xfId="21837"/>
    <cellStyle name="Obliczenia 2 12 52 2" xfId="21838"/>
    <cellStyle name="Obliczenia 2 12 52 3" xfId="21839"/>
    <cellStyle name="Obliczenia 2 12 53" xfId="21840"/>
    <cellStyle name="Obliczenia 2 12 53 2" xfId="21841"/>
    <cellStyle name="Obliczenia 2 12 53 3" xfId="21842"/>
    <cellStyle name="Obliczenia 2 12 54" xfId="21843"/>
    <cellStyle name="Obliczenia 2 12 54 2" xfId="21844"/>
    <cellStyle name="Obliczenia 2 12 54 3" xfId="21845"/>
    <cellStyle name="Obliczenia 2 12 55" xfId="21846"/>
    <cellStyle name="Obliczenia 2 12 55 2" xfId="21847"/>
    <cellStyle name="Obliczenia 2 12 55 3" xfId="21848"/>
    <cellStyle name="Obliczenia 2 12 56" xfId="21849"/>
    <cellStyle name="Obliczenia 2 12 56 2" xfId="21850"/>
    <cellStyle name="Obliczenia 2 12 56 3" xfId="21851"/>
    <cellStyle name="Obliczenia 2 12 57" xfId="21852"/>
    <cellStyle name="Obliczenia 2 12 58" xfId="21853"/>
    <cellStyle name="Obliczenia 2 12 6" xfId="21854"/>
    <cellStyle name="Obliczenia 2 12 6 2" xfId="21855"/>
    <cellStyle name="Obliczenia 2 12 6 3" xfId="21856"/>
    <cellStyle name="Obliczenia 2 12 6 4" xfId="21857"/>
    <cellStyle name="Obliczenia 2 12 7" xfId="21858"/>
    <cellStyle name="Obliczenia 2 12 7 2" xfId="21859"/>
    <cellStyle name="Obliczenia 2 12 7 3" xfId="21860"/>
    <cellStyle name="Obliczenia 2 12 7 4" xfId="21861"/>
    <cellStyle name="Obliczenia 2 12 8" xfId="21862"/>
    <cellStyle name="Obliczenia 2 12 8 2" xfId="21863"/>
    <cellStyle name="Obliczenia 2 12 8 3" xfId="21864"/>
    <cellStyle name="Obliczenia 2 12 8 4" xfId="21865"/>
    <cellStyle name="Obliczenia 2 12 9" xfId="21866"/>
    <cellStyle name="Obliczenia 2 12 9 2" xfId="21867"/>
    <cellStyle name="Obliczenia 2 12 9 3" xfId="21868"/>
    <cellStyle name="Obliczenia 2 12 9 4" xfId="21869"/>
    <cellStyle name="Obliczenia 2 13" xfId="21870"/>
    <cellStyle name="Obliczenia 2 13 10" xfId="21871"/>
    <cellStyle name="Obliczenia 2 13 10 2" xfId="21872"/>
    <cellStyle name="Obliczenia 2 13 10 3" xfId="21873"/>
    <cellStyle name="Obliczenia 2 13 10 4" xfId="21874"/>
    <cellStyle name="Obliczenia 2 13 11" xfId="21875"/>
    <cellStyle name="Obliczenia 2 13 11 2" xfId="21876"/>
    <cellStyle name="Obliczenia 2 13 11 3" xfId="21877"/>
    <cellStyle name="Obliczenia 2 13 11 4" xfId="21878"/>
    <cellStyle name="Obliczenia 2 13 12" xfId="21879"/>
    <cellStyle name="Obliczenia 2 13 12 2" xfId="21880"/>
    <cellStyle name="Obliczenia 2 13 12 3" xfId="21881"/>
    <cellStyle name="Obliczenia 2 13 12 4" xfId="21882"/>
    <cellStyle name="Obliczenia 2 13 13" xfId="21883"/>
    <cellStyle name="Obliczenia 2 13 13 2" xfId="21884"/>
    <cellStyle name="Obliczenia 2 13 13 3" xfId="21885"/>
    <cellStyle name="Obliczenia 2 13 13 4" xfId="21886"/>
    <cellStyle name="Obliczenia 2 13 14" xfId="21887"/>
    <cellStyle name="Obliczenia 2 13 14 2" xfId="21888"/>
    <cellStyle name="Obliczenia 2 13 14 3" xfId="21889"/>
    <cellStyle name="Obliczenia 2 13 14 4" xfId="21890"/>
    <cellStyle name="Obliczenia 2 13 15" xfId="21891"/>
    <cellStyle name="Obliczenia 2 13 15 2" xfId="21892"/>
    <cellStyle name="Obliczenia 2 13 15 3" xfId="21893"/>
    <cellStyle name="Obliczenia 2 13 15 4" xfId="21894"/>
    <cellStyle name="Obliczenia 2 13 16" xfId="21895"/>
    <cellStyle name="Obliczenia 2 13 16 2" xfId="21896"/>
    <cellStyle name="Obliczenia 2 13 16 3" xfId="21897"/>
    <cellStyle name="Obliczenia 2 13 16 4" xfId="21898"/>
    <cellStyle name="Obliczenia 2 13 17" xfId="21899"/>
    <cellStyle name="Obliczenia 2 13 17 2" xfId="21900"/>
    <cellStyle name="Obliczenia 2 13 17 3" xfId="21901"/>
    <cellStyle name="Obliczenia 2 13 17 4" xfId="21902"/>
    <cellStyle name="Obliczenia 2 13 18" xfId="21903"/>
    <cellStyle name="Obliczenia 2 13 18 2" xfId="21904"/>
    <cellStyle name="Obliczenia 2 13 18 3" xfId="21905"/>
    <cellStyle name="Obliczenia 2 13 18 4" xfId="21906"/>
    <cellStyle name="Obliczenia 2 13 19" xfId="21907"/>
    <cellStyle name="Obliczenia 2 13 19 2" xfId="21908"/>
    <cellStyle name="Obliczenia 2 13 19 3" xfId="21909"/>
    <cellStyle name="Obliczenia 2 13 19 4" xfId="21910"/>
    <cellStyle name="Obliczenia 2 13 2" xfId="21911"/>
    <cellStyle name="Obliczenia 2 13 2 2" xfId="21912"/>
    <cellStyle name="Obliczenia 2 13 2 3" xfId="21913"/>
    <cellStyle name="Obliczenia 2 13 2 4" xfId="21914"/>
    <cellStyle name="Obliczenia 2 13 20" xfId="21915"/>
    <cellStyle name="Obliczenia 2 13 20 2" xfId="21916"/>
    <cellStyle name="Obliczenia 2 13 20 3" xfId="21917"/>
    <cellStyle name="Obliczenia 2 13 20 4" xfId="21918"/>
    <cellStyle name="Obliczenia 2 13 21" xfId="21919"/>
    <cellStyle name="Obliczenia 2 13 21 2" xfId="21920"/>
    <cellStyle name="Obliczenia 2 13 21 3" xfId="21921"/>
    <cellStyle name="Obliczenia 2 13 22" xfId="21922"/>
    <cellStyle name="Obliczenia 2 13 22 2" xfId="21923"/>
    <cellStyle name="Obliczenia 2 13 22 3" xfId="21924"/>
    <cellStyle name="Obliczenia 2 13 23" xfId="21925"/>
    <cellStyle name="Obliczenia 2 13 23 2" xfId="21926"/>
    <cellStyle name="Obliczenia 2 13 23 3" xfId="21927"/>
    <cellStyle name="Obliczenia 2 13 24" xfId="21928"/>
    <cellStyle name="Obliczenia 2 13 24 2" xfId="21929"/>
    <cellStyle name="Obliczenia 2 13 24 3" xfId="21930"/>
    <cellStyle name="Obliczenia 2 13 25" xfId="21931"/>
    <cellStyle name="Obliczenia 2 13 25 2" xfId="21932"/>
    <cellStyle name="Obliczenia 2 13 25 3" xfId="21933"/>
    <cellStyle name="Obliczenia 2 13 26" xfId="21934"/>
    <cellStyle name="Obliczenia 2 13 26 2" xfId="21935"/>
    <cellStyle name="Obliczenia 2 13 26 3" xfId="21936"/>
    <cellStyle name="Obliczenia 2 13 27" xfId="21937"/>
    <cellStyle name="Obliczenia 2 13 27 2" xfId="21938"/>
    <cellStyle name="Obliczenia 2 13 27 3" xfId="21939"/>
    <cellStyle name="Obliczenia 2 13 28" xfId="21940"/>
    <cellStyle name="Obliczenia 2 13 28 2" xfId="21941"/>
    <cellStyle name="Obliczenia 2 13 28 3" xfId="21942"/>
    <cellStyle name="Obliczenia 2 13 29" xfId="21943"/>
    <cellStyle name="Obliczenia 2 13 29 2" xfId="21944"/>
    <cellStyle name="Obliczenia 2 13 29 3" xfId="21945"/>
    <cellStyle name="Obliczenia 2 13 3" xfId="21946"/>
    <cellStyle name="Obliczenia 2 13 3 2" xfId="21947"/>
    <cellStyle name="Obliczenia 2 13 3 3" xfId="21948"/>
    <cellStyle name="Obliczenia 2 13 3 4" xfId="21949"/>
    <cellStyle name="Obliczenia 2 13 30" xfId="21950"/>
    <cellStyle name="Obliczenia 2 13 30 2" xfId="21951"/>
    <cellStyle name="Obliczenia 2 13 30 3" xfId="21952"/>
    <cellStyle name="Obliczenia 2 13 31" xfId="21953"/>
    <cellStyle name="Obliczenia 2 13 31 2" xfId="21954"/>
    <cellStyle name="Obliczenia 2 13 31 3" xfId="21955"/>
    <cellStyle name="Obliczenia 2 13 32" xfId="21956"/>
    <cellStyle name="Obliczenia 2 13 32 2" xfId="21957"/>
    <cellStyle name="Obliczenia 2 13 32 3" xfId="21958"/>
    <cellStyle name="Obliczenia 2 13 33" xfId="21959"/>
    <cellStyle name="Obliczenia 2 13 33 2" xfId="21960"/>
    <cellStyle name="Obliczenia 2 13 33 3" xfId="21961"/>
    <cellStyle name="Obliczenia 2 13 34" xfId="21962"/>
    <cellStyle name="Obliczenia 2 13 34 2" xfId="21963"/>
    <cellStyle name="Obliczenia 2 13 34 3" xfId="21964"/>
    <cellStyle name="Obliczenia 2 13 35" xfId="21965"/>
    <cellStyle name="Obliczenia 2 13 35 2" xfId="21966"/>
    <cellStyle name="Obliczenia 2 13 35 3" xfId="21967"/>
    <cellStyle name="Obliczenia 2 13 36" xfId="21968"/>
    <cellStyle name="Obliczenia 2 13 36 2" xfId="21969"/>
    <cellStyle name="Obliczenia 2 13 36 3" xfId="21970"/>
    <cellStyle name="Obliczenia 2 13 37" xfId="21971"/>
    <cellStyle name="Obliczenia 2 13 37 2" xfId="21972"/>
    <cellStyle name="Obliczenia 2 13 37 3" xfId="21973"/>
    <cellStyle name="Obliczenia 2 13 38" xfId="21974"/>
    <cellStyle name="Obliczenia 2 13 38 2" xfId="21975"/>
    <cellStyle name="Obliczenia 2 13 38 3" xfId="21976"/>
    <cellStyle name="Obliczenia 2 13 39" xfId="21977"/>
    <cellStyle name="Obliczenia 2 13 39 2" xfId="21978"/>
    <cellStyle name="Obliczenia 2 13 39 3" xfId="21979"/>
    <cellStyle name="Obliczenia 2 13 4" xfId="21980"/>
    <cellStyle name="Obliczenia 2 13 4 2" xfId="21981"/>
    <cellStyle name="Obliczenia 2 13 4 3" xfId="21982"/>
    <cellStyle name="Obliczenia 2 13 4 4" xfId="21983"/>
    <cellStyle name="Obliczenia 2 13 40" xfId="21984"/>
    <cellStyle name="Obliczenia 2 13 40 2" xfId="21985"/>
    <cellStyle name="Obliczenia 2 13 40 3" xfId="21986"/>
    <cellStyle name="Obliczenia 2 13 41" xfId="21987"/>
    <cellStyle name="Obliczenia 2 13 41 2" xfId="21988"/>
    <cellStyle name="Obliczenia 2 13 41 3" xfId="21989"/>
    <cellStyle name="Obliczenia 2 13 42" xfId="21990"/>
    <cellStyle name="Obliczenia 2 13 42 2" xfId="21991"/>
    <cellStyle name="Obliczenia 2 13 42 3" xfId="21992"/>
    <cellStyle name="Obliczenia 2 13 43" xfId="21993"/>
    <cellStyle name="Obliczenia 2 13 43 2" xfId="21994"/>
    <cellStyle name="Obliczenia 2 13 43 3" xfId="21995"/>
    <cellStyle name="Obliczenia 2 13 44" xfId="21996"/>
    <cellStyle name="Obliczenia 2 13 44 2" xfId="21997"/>
    <cellStyle name="Obliczenia 2 13 44 3" xfId="21998"/>
    <cellStyle name="Obliczenia 2 13 45" xfId="21999"/>
    <cellStyle name="Obliczenia 2 13 45 2" xfId="22000"/>
    <cellStyle name="Obliczenia 2 13 45 3" xfId="22001"/>
    <cellStyle name="Obliczenia 2 13 46" xfId="22002"/>
    <cellStyle name="Obliczenia 2 13 46 2" xfId="22003"/>
    <cellStyle name="Obliczenia 2 13 46 3" xfId="22004"/>
    <cellStyle name="Obliczenia 2 13 47" xfId="22005"/>
    <cellStyle name="Obliczenia 2 13 47 2" xfId="22006"/>
    <cellStyle name="Obliczenia 2 13 47 3" xfId="22007"/>
    <cellStyle name="Obliczenia 2 13 48" xfId="22008"/>
    <cellStyle name="Obliczenia 2 13 48 2" xfId="22009"/>
    <cellStyle name="Obliczenia 2 13 48 3" xfId="22010"/>
    <cellStyle name="Obliczenia 2 13 49" xfId="22011"/>
    <cellStyle name="Obliczenia 2 13 49 2" xfId="22012"/>
    <cellStyle name="Obliczenia 2 13 49 3" xfId="22013"/>
    <cellStyle name="Obliczenia 2 13 5" xfId="22014"/>
    <cellStyle name="Obliczenia 2 13 5 2" xfId="22015"/>
    <cellStyle name="Obliczenia 2 13 5 3" xfId="22016"/>
    <cellStyle name="Obliczenia 2 13 5 4" xfId="22017"/>
    <cellStyle name="Obliczenia 2 13 50" xfId="22018"/>
    <cellStyle name="Obliczenia 2 13 50 2" xfId="22019"/>
    <cellStyle name="Obliczenia 2 13 50 3" xfId="22020"/>
    <cellStyle name="Obliczenia 2 13 51" xfId="22021"/>
    <cellStyle name="Obliczenia 2 13 51 2" xfId="22022"/>
    <cellStyle name="Obliczenia 2 13 51 3" xfId="22023"/>
    <cellStyle name="Obliczenia 2 13 52" xfId="22024"/>
    <cellStyle name="Obliczenia 2 13 52 2" xfId="22025"/>
    <cellStyle name="Obliczenia 2 13 52 3" xfId="22026"/>
    <cellStyle name="Obliczenia 2 13 53" xfId="22027"/>
    <cellStyle name="Obliczenia 2 13 53 2" xfId="22028"/>
    <cellStyle name="Obliczenia 2 13 53 3" xfId="22029"/>
    <cellStyle name="Obliczenia 2 13 54" xfId="22030"/>
    <cellStyle name="Obliczenia 2 13 54 2" xfId="22031"/>
    <cellStyle name="Obliczenia 2 13 54 3" xfId="22032"/>
    <cellStyle name="Obliczenia 2 13 55" xfId="22033"/>
    <cellStyle name="Obliczenia 2 13 55 2" xfId="22034"/>
    <cellStyle name="Obliczenia 2 13 55 3" xfId="22035"/>
    <cellStyle name="Obliczenia 2 13 56" xfId="22036"/>
    <cellStyle name="Obliczenia 2 13 56 2" xfId="22037"/>
    <cellStyle name="Obliczenia 2 13 56 3" xfId="22038"/>
    <cellStyle name="Obliczenia 2 13 57" xfId="22039"/>
    <cellStyle name="Obliczenia 2 13 58" xfId="22040"/>
    <cellStyle name="Obliczenia 2 13 6" xfId="22041"/>
    <cellStyle name="Obliczenia 2 13 6 2" xfId="22042"/>
    <cellStyle name="Obliczenia 2 13 6 3" xfId="22043"/>
    <cellStyle name="Obliczenia 2 13 6 4" xfId="22044"/>
    <cellStyle name="Obliczenia 2 13 7" xfId="22045"/>
    <cellStyle name="Obliczenia 2 13 7 2" xfId="22046"/>
    <cellStyle name="Obliczenia 2 13 7 3" xfId="22047"/>
    <cellStyle name="Obliczenia 2 13 7 4" xfId="22048"/>
    <cellStyle name="Obliczenia 2 13 8" xfId="22049"/>
    <cellStyle name="Obliczenia 2 13 8 2" xfId="22050"/>
    <cellStyle name="Obliczenia 2 13 8 3" xfId="22051"/>
    <cellStyle name="Obliczenia 2 13 8 4" xfId="22052"/>
    <cellStyle name="Obliczenia 2 13 9" xfId="22053"/>
    <cellStyle name="Obliczenia 2 13 9 2" xfId="22054"/>
    <cellStyle name="Obliczenia 2 13 9 3" xfId="22055"/>
    <cellStyle name="Obliczenia 2 13 9 4" xfId="22056"/>
    <cellStyle name="Obliczenia 2 14" xfId="22057"/>
    <cellStyle name="Obliczenia 2 14 10" xfId="22058"/>
    <cellStyle name="Obliczenia 2 14 10 2" xfId="22059"/>
    <cellStyle name="Obliczenia 2 14 10 3" xfId="22060"/>
    <cellStyle name="Obliczenia 2 14 10 4" xfId="22061"/>
    <cellStyle name="Obliczenia 2 14 11" xfId="22062"/>
    <cellStyle name="Obliczenia 2 14 11 2" xfId="22063"/>
    <cellStyle name="Obliczenia 2 14 11 3" xfId="22064"/>
    <cellStyle name="Obliczenia 2 14 11 4" xfId="22065"/>
    <cellStyle name="Obliczenia 2 14 12" xfId="22066"/>
    <cellStyle name="Obliczenia 2 14 12 2" xfId="22067"/>
    <cellStyle name="Obliczenia 2 14 12 3" xfId="22068"/>
    <cellStyle name="Obliczenia 2 14 12 4" xfId="22069"/>
    <cellStyle name="Obliczenia 2 14 13" xfId="22070"/>
    <cellStyle name="Obliczenia 2 14 13 2" xfId="22071"/>
    <cellStyle name="Obliczenia 2 14 13 3" xfId="22072"/>
    <cellStyle name="Obliczenia 2 14 13 4" xfId="22073"/>
    <cellStyle name="Obliczenia 2 14 14" xfId="22074"/>
    <cellStyle name="Obliczenia 2 14 14 2" xfId="22075"/>
    <cellStyle name="Obliczenia 2 14 14 3" xfId="22076"/>
    <cellStyle name="Obliczenia 2 14 14 4" xfId="22077"/>
    <cellStyle name="Obliczenia 2 14 15" xfId="22078"/>
    <cellStyle name="Obliczenia 2 14 15 2" xfId="22079"/>
    <cellStyle name="Obliczenia 2 14 15 3" xfId="22080"/>
    <cellStyle name="Obliczenia 2 14 15 4" xfId="22081"/>
    <cellStyle name="Obliczenia 2 14 16" xfId="22082"/>
    <cellStyle name="Obliczenia 2 14 16 2" xfId="22083"/>
    <cellStyle name="Obliczenia 2 14 16 3" xfId="22084"/>
    <cellStyle name="Obliczenia 2 14 16 4" xfId="22085"/>
    <cellStyle name="Obliczenia 2 14 17" xfId="22086"/>
    <cellStyle name="Obliczenia 2 14 17 2" xfId="22087"/>
    <cellStyle name="Obliczenia 2 14 17 3" xfId="22088"/>
    <cellStyle name="Obliczenia 2 14 17 4" xfId="22089"/>
    <cellStyle name="Obliczenia 2 14 18" xfId="22090"/>
    <cellStyle name="Obliczenia 2 14 18 2" xfId="22091"/>
    <cellStyle name="Obliczenia 2 14 18 3" xfId="22092"/>
    <cellStyle name="Obliczenia 2 14 18 4" xfId="22093"/>
    <cellStyle name="Obliczenia 2 14 19" xfId="22094"/>
    <cellStyle name="Obliczenia 2 14 19 2" xfId="22095"/>
    <cellStyle name="Obliczenia 2 14 19 3" xfId="22096"/>
    <cellStyle name="Obliczenia 2 14 19 4" xfId="22097"/>
    <cellStyle name="Obliczenia 2 14 2" xfId="22098"/>
    <cellStyle name="Obliczenia 2 14 2 2" xfId="22099"/>
    <cellStyle name="Obliczenia 2 14 2 3" xfId="22100"/>
    <cellStyle name="Obliczenia 2 14 2 4" xfId="22101"/>
    <cellStyle name="Obliczenia 2 14 20" xfId="22102"/>
    <cellStyle name="Obliczenia 2 14 20 2" xfId="22103"/>
    <cellStyle name="Obliczenia 2 14 20 3" xfId="22104"/>
    <cellStyle name="Obliczenia 2 14 20 4" xfId="22105"/>
    <cellStyle name="Obliczenia 2 14 21" xfId="22106"/>
    <cellStyle name="Obliczenia 2 14 21 2" xfId="22107"/>
    <cellStyle name="Obliczenia 2 14 21 3" xfId="22108"/>
    <cellStyle name="Obliczenia 2 14 22" xfId="22109"/>
    <cellStyle name="Obliczenia 2 14 22 2" xfId="22110"/>
    <cellStyle name="Obliczenia 2 14 22 3" xfId="22111"/>
    <cellStyle name="Obliczenia 2 14 23" xfId="22112"/>
    <cellStyle name="Obliczenia 2 14 23 2" xfId="22113"/>
    <cellStyle name="Obliczenia 2 14 23 3" xfId="22114"/>
    <cellStyle name="Obliczenia 2 14 24" xfId="22115"/>
    <cellStyle name="Obliczenia 2 14 24 2" xfId="22116"/>
    <cellStyle name="Obliczenia 2 14 24 3" xfId="22117"/>
    <cellStyle name="Obliczenia 2 14 25" xfId="22118"/>
    <cellStyle name="Obliczenia 2 14 25 2" xfId="22119"/>
    <cellStyle name="Obliczenia 2 14 25 3" xfId="22120"/>
    <cellStyle name="Obliczenia 2 14 26" xfId="22121"/>
    <cellStyle name="Obliczenia 2 14 26 2" xfId="22122"/>
    <cellStyle name="Obliczenia 2 14 26 3" xfId="22123"/>
    <cellStyle name="Obliczenia 2 14 27" xfId="22124"/>
    <cellStyle name="Obliczenia 2 14 27 2" xfId="22125"/>
    <cellStyle name="Obliczenia 2 14 27 3" xfId="22126"/>
    <cellStyle name="Obliczenia 2 14 28" xfId="22127"/>
    <cellStyle name="Obliczenia 2 14 28 2" xfId="22128"/>
    <cellStyle name="Obliczenia 2 14 28 3" xfId="22129"/>
    <cellStyle name="Obliczenia 2 14 29" xfId="22130"/>
    <cellStyle name="Obliczenia 2 14 29 2" xfId="22131"/>
    <cellStyle name="Obliczenia 2 14 29 3" xfId="22132"/>
    <cellStyle name="Obliczenia 2 14 3" xfId="22133"/>
    <cellStyle name="Obliczenia 2 14 3 2" xfId="22134"/>
    <cellStyle name="Obliczenia 2 14 3 3" xfId="22135"/>
    <cellStyle name="Obliczenia 2 14 3 4" xfId="22136"/>
    <cellStyle name="Obliczenia 2 14 30" xfId="22137"/>
    <cellStyle name="Obliczenia 2 14 30 2" xfId="22138"/>
    <cellStyle name="Obliczenia 2 14 30 3" xfId="22139"/>
    <cellStyle name="Obliczenia 2 14 31" xfId="22140"/>
    <cellStyle name="Obliczenia 2 14 31 2" xfId="22141"/>
    <cellStyle name="Obliczenia 2 14 31 3" xfId="22142"/>
    <cellStyle name="Obliczenia 2 14 32" xfId="22143"/>
    <cellStyle name="Obliczenia 2 14 32 2" xfId="22144"/>
    <cellStyle name="Obliczenia 2 14 32 3" xfId="22145"/>
    <cellStyle name="Obliczenia 2 14 33" xfId="22146"/>
    <cellStyle name="Obliczenia 2 14 33 2" xfId="22147"/>
    <cellStyle name="Obliczenia 2 14 33 3" xfId="22148"/>
    <cellStyle name="Obliczenia 2 14 34" xfId="22149"/>
    <cellStyle name="Obliczenia 2 14 34 2" xfId="22150"/>
    <cellStyle name="Obliczenia 2 14 34 3" xfId="22151"/>
    <cellStyle name="Obliczenia 2 14 35" xfId="22152"/>
    <cellStyle name="Obliczenia 2 14 35 2" xfId="22153"/>
    <cellStyle name="Obliczenia 2 14 35 3" xfId="22154"/>
    <cellStyle name="Obliczenia 2 14 36" xfId="22155"/>
    <cellStyle name="Obliczenia 2 14 36 2" xfId="22156"/>
    <cellStyle name="Obliczenia 2 14 36 3" xfId="22157"/>
    <cellStyle name="Obliczenia 2 14 37" xfId="22158"/>
    <cellStyle name="Obliczenia 2 14 37 2" xfId="22159"/>
    <cellStyle name="Obliczenia 2 14 37 3" xfId="22160"/>
    <cellStyle name="Obliczenia 2 14 38" xfId="22161"/>
    <cellStyle name="Obliczenia 2 14 38 2" xfId="22162"/>
    <cellStyle name="Obliczenia 2 14 38 3" xfId="22163"/>
    <cellStyle name="Obliczenia 2 14 39" xfId="22164"/>
    <cellStyle name="Obliczenia 2 14 39 2" xfId="22165"/>
    <cellStyle name="Obliczenia 2 14 39 3" xfId="22166"/>
    <cellStyle name="Obliczenia 2 14 4" xfId="22167"/>
    <cellStyle name="Obliczenia 2 14 4 2" xfId="22168"/>
    <cellStyle name="Obliczenia 2 14 4 3" xfId="22169"/>
    <cellStyle name="Obliczenia 2 14 4 4" xfId="22170"/>
    <cellStyle name="Obliczenia 2 14 40" xfId="22171"/>
    <cellStyle name="Obliczenia 2 14 40 2" xfId="22172"/>
    <cellStyle name="Obliczenia 2 14 40 3" xfId="22173"/>
    <cellStyle name="Obliczenia 2 14 41" xfId="22174"/>
    <cellStyle name="Obliczenia 2 14 41 2" xfId="22175"/>
    <cellStyle name="Obliczenia 2 14 41 3" xfId="22176"/>
    <cellStyle name="Obliczenia 2 14 42" xfId="22177"/>
    <cellStyle name="Obliczenia 2 14 42 2" xfId="22178"/>
    <cellStyle name="Obliczenia 2 14 42 3" xfId="22179"/>
    <cellStyle name="Obliczenia 2 14 43" xfId="22180"/>
    <cellStyle name="Obliczenia 2 14 43 2" xfId="22181"/>
    <cellStyle name="Obliczenia 2 14 43 3" xfId="22182"/>
    <cellStyle name="Obliczenia 2 14 44" xfId="22183"/>
    <cellStyle name="Obliczenia 2 14 44 2" xfId="22184"/>
    <cellStyle name="Obliczenia 2 14 44 3" xfId="22185"/>
    <cellStyle name="Obliczenia 2 14 45" xfId="22186"/>
    <cellStyle name="Obliczenia 2 14 45 2" xfId="22187"/>
    <cellStyle name="Obliczenia 2 14 45 3" xfId="22188"/>
    <cellStyle name="Obliczenia 2 14 46" xfId="22189"/>
    <cellStyle name="Obliczenia 2 14 46 2" xfId="22190"/>
    <cellStyle name="Obliczenia 2 14 46 3" xfId="22191"/>
    <cellStyle name="Obliczenia 2 14 47" xfId="22192"/>
    <cellStyle name="Obliczenia 2 14 47 2" xfId="22193"/>
    <cellStyle name="Obliczenia 2 14 47 3" xfId="22194"/>
    <cellStyle name="Obliczenia 2 14 48" xfId="22195"/>
    <cellStyle name="Obliczenia 2 14 48 2" xfId="22196"/>
    <cellStyle name="Obliczenia 2 14 48 3" xfId="22197"/>
    <cellStyle name="Obliczenia 2 14 49" xfId="22198"/>
    <cellStyle name="Obliczenia 2 14 49 2" xfId="22199"/>
    <cellStyle name="Obliczenia 2 14 49 3" xfId="22200"/>
    <cellStyle name="Obliczenia 2 14 5" xfId="22201"/>
    <cellStyle name="Obliczenia 2 14 5 2" xfId="22202"/>
    <cellStyle name="Obliczenia 2 14 5 3" xfId="22203"/>
    <cellStyle name="Obliczenia 2 14 5 4" xfId="22204"/>
    <cellStyle name="Obliczenia 2 14 50" xfId="22205"/>
    <cellStyle name="Obliczenia 2 14 50 2" xfId="22206"/>
    <cellStyle name="Obliczenia 2 14 50 3" xfId="22207"/>
    <cellStyle name="Obliczenia 2 14 51" xfId="22208"/>
    <cellStyle name="Obliczenia 2 14 51 2" xfId="22209"/>
    <cellStyle name="Obliczenia 2 14 51 3" xfId="22210"/>
    <cellStyle name="Obliczenia 2 14 52" xfId="22211"/>
    <cellStyle name="Obliczenia 2 14 52 2" xfId="22212"/>
    <cellStyle name="Obliczenia 2 14 52 3" xfId="22213"/>
    <cellStyle name="Obliczenia 2 14 53" xfId="22214"/>
    <cellStyle name="Obliczenia 2 14 53 2" xfId="22215"/>
    <cellStyle name="Obliczenia 2 14 53 3" xfId="22216"/>
    <cellStyle name="Obliczenia 2 14 54" xfId="22217"/>
    <cellStyle name="Obliczenia 2 14 54 2" xfId="22218"/>
    <cellStyle name="Obliczenia 2 14 54 3" xfId="22219"/>
    <cellStyle name="Obliczenia 2 14 55" xfId="22220"/>
    <cellStyle name="Obliczenia 2 14 55 2" xfId="22221"/>
    <cellStyle name="Obliczenia 2 14 55 3" xfId="22222"/>
    <cellStyle name="Obliczenia 2 14 56" xfId="22223"/>
    <cellStyle name="Obliczenia 2 14 56 2" xfId="22224"/>
    <cellStyle name="Obliczenia 2 14 56 3" xfId="22225"/>
    <cellStyle name="Obliczenia 2 14 57" xfId="22226"/>
    <cellStyle name="Obliczenia 2 14 58" xfId="22227"/>
    <cellStyle name="Obliczenia 2 14 6" xfId="22228"/>
    <cellStyle name="Obliczenia 2 14 6 2" xfId="22229"/>
    <cellStyle name="Obliczenia 2 14 6 3" xfId="22230"/>
    <cellStyle name="Obliczenia 2 14 6 4" xfId="22231"/>
    <cellStyle name="Obliczenia 2 14 7" xfId="22232"/>
    <cellStyle name="Obliczenia 2 14 7 2" xfId="22233"/>
    <cellStyle name="Obliczenia 2 14 7 3" xfId="22234"/>
    <cellStyle name="Obliczenia 2 14 7 4" xfId="22235"/>
    <cellStyle name="Obliczenia 2 14 8" xfId="22236"/>
    <cellStyle name="Obliczenia 2 14 8 2" xfId="22237"/>
    <cellStyle name="Obliczenia 2 14 8 3" xfId="22238"/>
    <cellStyle name="Obliczenia 2 14 8 4" xfId="22239"/>
    <cellStyle name="Obliczenia 2 14 9" xfId="22240"/>
    <cellStyle name="Obliczenia 2 14 9 2" xfId="22241"/>
    <cellStyle name="Obliczenia 2 14 9 3" xfId="22242"/>
    <cellStyle name="Obliczenia 2 14 9 4" xfId="22243"/>
    <cellStyle name="Obliczenia 2 15" xfId="22244"/>
    <cellStyle name="Obliczenia 2 15 10" xfId="22245"/>
    <cellStyle name="Obliczenia 2 15 10 2" xfId="22246"/>
    <cellStyle name="Obliczenia 2 15 10 3" xfId="22247"/>
    <cellStyle name="Obliczenia 2 15 10 4" xfId="22248"/>
    <cellStyle name="Obliczenia 2 15 11" xfId="22249"/>
    <cellStyle name="Obliczenia 2 15 11 2" xfId="22250"/>
    <cellStyle name="Obliczenia 2 15 11 3" xfId="22251"/>
    <cellStyle name="Obliczenia 2 15 11 4" xfId="22252"/>
    <cellStyle name="Obliczenia 2 15 12" xfId="22253"/>
    <cellStyle name="Obliczenia 2 15 12 2" xfId="22254"/>
    <cellStyle name="Obliczenia 2 15 12 3" xfId="22255"/>
    <cellStyle name="Obliczenia 2 15 12 4" xfId="22256"/>
    <cellStyle name="Obliczenia 2 15 13" xfId="22257"/>
    <cellStyle name="Obliczenia 2 15 13 2" xfId="22258"/>
    <cellStyle name="Obliczenia 2 15 13 3" xfId="22259"/>
    <cellStyle name="Obliczenia 2 15 13 4" xfId="22260"/>
    <cellStyle name="Obliczenia 2 15 14" xfId="22261"/>
    <cellStyle name="Obliczenia 2 15 14 2" xfId="22262"/>
    <cellStyle name="Obliczenia 2 15 14 3" xfId="22263"/>
    <cellStyle name="Obliczenia 2 15 14 4" xfId="22264"/>
    <cellStyle name="Obliczenia 2 15 15" xfId="22265"/>
    <cellStyle name="Obliczenia 2 15 15 2" xfId="22266"/>
    <cellStyle name="Obliczenia 2 15 15 3" xfId="22267"/>
    <cellStyle name="Obliczenia 2 15 15 4" xfId="22268"/>
    <cellStyle name="Obliczenia 2 15 16" xfId="22269"/>
    <cellStyle name="Obliczenia 2 15 16 2" xfId="22270"/>
    <cellStyle name="Obliczenia 2 15 16 3" xfId="22271"/>
    <cellStyle name="Obliczenia 2 15 16 4" xfId="22272"/>
    <cellStyle name="Obliczenia 2 15 17" xfId="22273"/>
    <cellStyle name="Obliczenia 2 15 17 2" xfId="22274"/>
    <cellStyle name="Obliczenia 2 15 17 3" xfId="22275"/>
    <cellStyle name="Obliczenia 2 15 17 4" xfId="22276"/>
    <cellStyle name="Obliczenia 2 15 18" xfId="22277"/>
    <cellStyle name="Obliczenia 2 15 18 2" xfId="22278"/>
    <cellStyle name="Obliczenia 2 15 18 3" xfId="22279"/>
    <cellStyle name="Obliczenia 2 15 18 4" xfId="22280"/>
    <cellStyle name="Obliczenia 2 15 19" xfId="22281"/>
    <cellStyle name="Obliczenia 2 15 19 2" xfId="22282"/>
    <cellStyle name="Obliczenia 2 15 19 3" xfId="22283"/>
    <cellStyle name="Obliczenia 2 15 19 4" xfId="22284"/>
    <cellStyle name="Obliczenia 2 15 2" xfId="22285"/>
    <cellStyle name="Obliczenia 2 15 2 2" xfId="22286"/>
    <cellStyle name="Obliczenia 2 15 2 3" xfId="22287"/>
    <cellStyle name="Obliczenia 2 15 2 4" xfId="22288"/>
    <cellStyle name="Obliczenia 2 15 20" xfId="22289"/>
    <cellStyle name="Obliczenia 2 15 20 2" xfId="22290"/>
    <cellStyle name="Obliczenia 2 15 20 3" xfId="22291"/>
    <cellStyle name="Obliczenia 2 15 20 4" xfId="22292"/>
    <cellStyle name="Obliczenia 2 15 21" xfId="22293"/>
    <cellStyle name="Obliczenia 2 15 21 2" xfId="22294"/>
    <cellStyle name="Obliczenia 2 15 21 3" xfId="22295"/>
    <cellStyle name="Obliczenia 2 15 22" xfId="22296"/>
    <cellStyle name="Obliczenia 2 15 22 2" xfId="22297"/>
    <cellStyle name="Obliczenia 2 15 22 3" xfId="22298"/>
    <cellStyle name="Obliczenia 2 15 23" xfId="22299"/>
    <cellStyle name="Obliczenia 2 15 23 2" xfId="22300"/>
    <cellStyle name="Obliczenia 2 15 23 3" xfId="22301"/>
    <cellStyle name="Obliczenia 2 15 24" xfId="22302"/>
    <cellStyle name="Obliczenia 2 15 24 2" xfId="22303"/>
    <cellStyle name="Obliczenia 2 15 24 3" xfId="22304"/>
    <cellStyle name="Obliczenia 2 15 25" xfId="22305"/>
    <cellStyle name="Obliczenia 2 15 25 2" xfId="22306"/>
    <cellStyle name="Obliczenia 2 15 25 3" xfId="22307"/>
    <cellStyle name="Obliczenia 2 15 26" xfId="22308"/>
    <cellStyle name="Obliczenia 2 15 26 2" xfId="22309"/>
    <cellStyle name="Obliczenia 2 15 26 3" xfId="22310"/>
    <cellStyle name="Obliczenia 2 15 27" xfId="22311"/>
    <cellStyle name="Obliczenia 2 15 27 2" xfId="22312"/>
    <cellStyle name="Obliczenia 2 15 27 3" xfId="22313"/>
    <cellStyle name="Obliczenia 2 15 28" xfId="22314"/>
    <cellStyle name="Obliczenia 2 15 28 2" xfId="22315"/>
    <cellStyle name="Obliczenia 2 15 28 3" xfId="22316"/>
    <cellStyle name="Obliczenia 2 15 29" xfId="22317"/>
    <cellStyle name="Obliczenia 2 15 29 2" xfId="22318"/>
    <cellStyle name="Obliczenia 2 15 29 3" xfId="22319"/>
    <cellStyle name="Obliczenia 2 15 3" xfId="22320"/>
    <cellStyle name="Obliczenia 2 15 3 2" xfId="22321"/>
    <cellStyle name="Obliczenia 2 15 3 3" xfId="22322"/>
    <cellStyle name="Obliczenia 2 15 3 4" xfId="22323"/>
    <cellStyle name="Obliczenia 2 15 30" xfId="22324"/>
    <cellStyle name="Obliczenia 2 15 30 2" xfId="22325"/>
    <cellStyle name="Obliczenia 2 15 30 3" xfId="22326"/>
    <cellStyle name="Obliczenia 2 15 31" xfId="22327"/>
    <cellStyle name="Obliczenia 2 15 31 2" xfId="22328"/>
    <cellStyle name="Obliczenia 2 15 31 3" xfId="22329"/>
    <cellStyle name="Obliczenia 2 15 32" xfId="22330"/>
    <cellStyle name="Obliczenia 2 15 32 2" xfId="22331"/>
    <cellStyle name="Obliczenia 2 15 32 3" xfId="22332"/>
    <cellStyle name="Obliczenia 2 15 33" xfId="22333"/>
    <cellStyle name="Obliczenia 2 15 33 2" xfId="22334"/>
    <cellStyle name="Obliczenia 2 15 33 3" xfId="22335"/>
    <cellStyle name="Obliczenia 2 15 34" xfId="22336"/>
    <cellStyle name="Obliczenia 2 15 34 2" xfId="22337"/>
    <cellStyle name="Obliczenia 2 15 34 3" xfId="22338"/>
    <cellStyle name="Obliczenia 2 15 35" xfId="22339"/>
    <cellStyle name="Obliczenia 2 15 35 2" xfId="22340"/>
    <cellStyle name="Obliczenia 2 15 35 3" xfId="22341"/>
    <cellStyle name="Obliczenia 2 15 36" xfId="22342"/>
    <cellStyle name="Obliczenia 2 15 36 2" xfId="22343"/>
    <cellStyle name="Obliczenia 2 15 36 3" xfId="22344"/>
    <cellStyle name="Obliczenia 2 15 37" xfId="22345"/>
    <cellStyle name="Obliczenia 2 15 37 2" xfId="22346"/>
    <cellStyle name="Obliczenia 2 15 37 3" xfId="22347"/>
    <cellStyle name="Obliczenia 2 15 38" xfId="22348"/>
    <cellStyle name="Obliczenia 2 15 38 2" xfId="22349"/>
    <cellStyle name="Obliczenia 2 15 38 3" xfId="22350"/>
    <cellStyle name="Obliczenia 2 15 39" xfId="22351"/>
    <cellStyle name="Obliczenia 2 15 39 2" xfId="22352"/>
    <cellStyle name="Obliczenia 2 15 39 3" xfId="22353"/>
    <cellStyle name="Obliczenia 2 15 4" xfId="22354"/>
    <cellStyle name="Obliczenia 2 15 4 2" xfId="22355"/>
    <cellStyle name="Obliczenia 2 15 4 3" xfId="22356"/>
    <cellStyle name="Obliczenia 2 15 4 4" xfId="22357"/>
    <cellStyle name="Obliczenia 2 15 40" xfId="22358"/>
    <cellStyle name="Obliczenia 2 15 40 2" xfId="22359"/>
    <cellStyle name="Obliczenia 2 15 40 3" xfId="22360"/>
    <cellStyle name="Obliczenia 2 15 41" xfId="22361"/>
    <cellStyle name="Obliczenia 2 15 41 2" xfId="22362"/>
    <cellStyle name="Obliczenia 2 15 41 3" xfId="22363"/>
    <cellStyle name="Obliczenia 2 15 42" xfId="22364"/>
    <cellStyle name="Obliczenia 2 15 42 2" xfId="22365"/>
    <cellStyle name="Obliczenia 2 15 42 3" xfId="22366"/>
    <cellStyle name="Obliczenia 2 15 43" xfId="22367"/>
    <cellStyle name="Obliczenia 2 15 43 2" xfId="22368"/>
    <cellStyle name="Obliczenia 2 15 43 3" xfId="22369"/>
    <cellStyle name="Obliczenia 2 15 44" xfId="22370"/>
    <cellStyle name="Obliczenia 2 15 44 2" xfId="22371"/>
    <cellStyle name="Obliczenia 2 15 44 3" xfId="22372"/>
    <cellStyle name="Obliczenia 2 15 45" xfId="22373"/>
    <cellStyle name="Obliczenia 2 15 45 2" xfId="22374"/>
    <cellStyle name="Obliczenia 2 15 45 3" xfId="22375"/>
    <cellStyle name="Obliczenia 2 15 46" xfId="22376"/>
    <cellStyle name="Obliczenia 2 15 46 2" xfId="22377"/>
    <cellStyle name="Obliczenia 2 15 46 3" xfId="22378"/>
    <cellStyle name="Obliczenia 2 15 47" xfId="22379"/>
    <cellStyle name="Obliczenia 2 15 47 2" xfId="22380"/>
    <cellStyle name="Obliczenia 2 15 47 3" xfId="22381"/>
    <cellStyle name="Obliczenia 2 15 48" xfId="22382"/>
    <cellStyle name="Obliczenia 2 15 48 2" xfId="22383"/>
    <cellStyle name="Obliczenia 2 15 48 3" xfId="22384"/>
    <cellStyle name="Obliczenia 2 15 49" xfId="22385"/>
    <cellStyle name="Obliczenia 2 15 49 2" xfId="22386"/>
    <cellStyle name="Obliczenia 2 15 49 3" xfId="22387"/>
    <cellStyle name="Obliczenia 2 15 5" xfId="22388"/>
    <cellStyle name="Obliczenia 2 15 5 2" xfId="22389"/>
    <cellStyle name="Obliczenia 2 15 5 3" xfId="22390"/>
    <cellStyle name="Obliczenia 2 15 5 4" xfId="22391"/>
    <cellStyle name="Obliczenia 2 15 50" xfId="22392"/>
    <cellStyle name="Obliczenia 2 15 50 2" xfId="22393"/>
    <cellStyle name="Obliczenia 2 15 50 3" xfId="22394"/>
    <cellStyle name="Obliczenia 2 15 51" xfId="22395"/>
    <cellStyle name="Obliczenia 2 15 51 2" xfId="22396"/>
    <cellStyle name="Obliczenia 2 15 51 3" xfId="22397"/>
    <cellStyle name="Obliczenia 2 15 52" xfId="22398"/>
    <cellStyle name="Obliczenia 2 15 52 2" xfId="22399"/>
    <cellStyle name="Obliczenia 2 15 52 3" xfId="22400"/>
    <cellStyle name="Obliczenia 2 15 53" xfId="22401"/>
    <cellStyle name="Obliczenia 2 15 53 2" xfId="22402"/>
    <cellStyle name="Obliczenia 2 15 53 3" xfId="22403"/>
    <cellStyle name="Obliczenia 2 15 54" xfId="22404"/>
    <cellStyle name="Obliczenia 2 15 54 2" xfId="22405"/>
    <cellStyle name="Obliczenia 2 15 54 3" xfId="22406"/>
    <cellStyle name="Obliczenia 2 15 55" xfId="22407"/>
    <cellStyle name="Obliczenia 2 15 55 2" xfId="22408"/>
    <cellStyle name="Obliczenia 2 15 55 3" xfId="22409"/>
    <cellStyle name="Obliczenia 2 15 56" xfId="22410"/>
    <cellStyle name="Obliczenia 2 15 56 2" xfId="22411"/>
    <cellStyle name="Obliczenia 2 15 56 3" xfId="22412"/>
    <cellStyle name="Obliczenia 2 15 57" xfId="22413"/>
    <cellStyle name="Obliczenia 2 15 58" xfId="22414"/>
    <cellStyle name="Obliczenia 2 15 6" xfId="22415"/>
    <cellStyle name="Obliczenia 2 15 6 2" xfId="22416"/>
    <cellStyle name="Obliczenia 2 15 6 3" xfId="22417"/>
    <cellStyle name="Obliczenia 2 15 6 4" xfId="22418"/>
    <cellStyle name="Obliczenia 2 15 7" xfId="22419"/>
    <cellStyle name="Obliczenia 2 15 7 2" xfId="22420"/>
    <cellStyle name="Obliczenia 2 15 7 3" xfId="22421"/>
    <cellStyle name="Obliczenia 2 15 7 4" xfId="22422"/>
    <cellStyle name="Obliczenia 2 15 8" xfId="22423"/>
    <cellStyle name="Obliczenia 2 15 8 2" xfId="22424"/>
    <cellStyle name="Obliczenia 2 15 8 3" xfId="22425"/>
    <cellStyle name="Obliczenia 2 15 8 4" xfId="22426"/>
    <cellStyle name="Obliczenia 2 15 9" xfId="22427"/>
    <cellStyle name="Obliczenia 2 15 9 2" xfId="22428"/>
    <cellStyle name="Obliczenia 2 15 9 3" xfId="22429"/>
    <cellStyle name="Obliczenia 2 15 9 4" xfId="22430"/>
    <cellStyle name="Obliczenia 2 16" xfId="22431"/>
    <cellStyle name="Obliczenia 2 16 10" xfId="22432"/>
    <cellStyle name="Obliczenia 2 16 10 2" xfId="22433"/>
    <cellStyle name="Obliczenia 2 16 10 3" xfId="22434"/>
    <cellStyle name="Obliczenia 2 16 10 4" xfId="22435"/>
    <cellStyle name="Obliczenia 2 16 11" xfId="22436"/>
    <cellStyle name="Obliczenia 2 16 11 2" xfId="22437"/>
    <cellStyle name="Obliczenia 2 16 11 3" xfId="22438"/>
    <cellStyle name="Obliczenia 2 16 11 4" xfId="22439"/>
    <cellStyle name="Obliczenia 2 16 12" xfId="22440"/>
    <cellStyle name="Obliczenia 2 16 12 2" xfId="22441"/>
    <cellStyle name="Obliczenia 2 16 12 3" xfId="22442"/>
    <cellStyle name="Obliczenia 2 16 12 4" xfId="22443"/>
    <cellStyle name="Obliczenia 2 16 13" xfId="22444"/>
    <cellStyle name="Obliczenia 2 16 13 2" xfId="22445"/>
    <cellStyle name="Obliczenia 2 16 13 3" xfId="22446"/>
    <cellStyle name="Obliczenia 2 16 13 4" xfId="22447"/>
    <cellStyle name="Obliczenia 2 16 14" xfId="22448"/>
    <cellStyle name="Obliczenia 2 16 14 2" xfId="22449"/>
    <cellStyle name="Obliczenia 2 16 14 3" xfId="22450"/>
    <cellStyle name="Obliczenia 2 16 14 4" xfId="22451"/>
    <cellStyle name="Obliczenia 2 16 15" xfId="22452"/>
    <cellStyle name="Obliczenia 2 16 15 2" xfId="22453"/>
    <cellStyle name="Obliczenia 2 16 15 3" xfId="22454"/>
    <cellStyle name="Obliczenia 2 16 15 4" xfId="22455"/>
    <cellStyle name="Obliczenia 2 16 16" xfId="22456"/>
    <cellStyle name="Obliczenia 2 16 16 2" xfId="22457"/>
    <cellStyle name="Obliczenia 2 16 16 3" xfId="22458"/>
    <cellStyle name="Obliczenia 2 16 16 4" xfId="22459"/>
    <cellStyle name="Obliczenia 2 16 17" xfId="22460"/>
    <cellStyle name="Obliczenia 2 16 17 2" xfId="22461"/>
    <cellStyle name="Obliczenia 2 16 17 3" xfId="22462"/>
    <cellStyle name="Obliczenia 2 16 17 4" xfId="22463"/>
    <cellStyle name="Obliczenia 2 16 18" xfId="22464"/>
    <cellStyle name="Obliczenia 2 16 18 2" xfId="22465"/>
    <cellStyle name="Obliczenia 2 16 18 3" xfId="22466"/>
    <cellStyle name="Obliczenia 2 16 18 4" xfId="22467"/>
    <cellStyle name="Obliczenia 2 16 19" xfId="22468"/>
    <cellStyle name="Obliczenia 2 16 19 2" xfId="22469"/>
    <cellStyle name="Obliczenia 2 16 19 3" xfId="22470"/>
    <cellStyle name="Obliczenia 2 16 19 4" xfId="22471"/>
    <cellStyle name="Obliczenia 2 16 2" xfId="22472"/>
    <cellStyle name="Obliczenia 2 16 2 2" xfId="22473"/>
    <cellStyle name="Obliczenia 2 16 2 3" xfId="22474"/>
    <cellStyle name="Obliczenia 2 16 2 4" xfId="22475"/>
    <cellStyle name="Obliczenia 2 16 20" xfId="22476"/>
    <cellStyle name="Obliczenia 2 16 20 2" xfId="22477"/>
    <cellStyle name="Obliczenia 2 16 20 3" xfId="22478"/>
    <cellStyle name="Obliczenia 2 16 20 4" xfId="22479"/>
    <cellStyle name="Obliczenia 2 16 21" xfId="22480"/>
    <cellStyle name="Obliczenia 2 16 21 2" xfId="22481"/>
    <cellStyle name="Obliczenia 2 16 21 3" xfId="22482"/>
    <cellStyle name="Obliczenia 2 16 22" xfId="22483"/>
    <cellStyle name="Obliczenia 2 16 22 2" xfId="22484"/>
    <cellStyle name="Obliczenia 2 16 22 3" xfId="22485"/>
    <cellStyle name="Obliczenia 2 16 23" xfId="22486"/>
    <cellStyle name="Obliczenia 2 16 23 2" xfId="22487"/>
    <cellStyle name="Obliczenia 2 16 23 3" xfId="22488"/>
    <cellStyle name="Obliczenia 2 16 24" xfId="22489"/>
    <cellStyle name="Obliczenia 2 16 24 2" xfId="22490"/>
    <cellStyle name="Obliczenia 2 16 24 3" xfId="22491"/>
    <cellStyle name="Obliczenia 2 16 25" xfId="22492"/>
    <cellStyle name="Obliczenia 2 16 25 2" xfId="22493"/>
    <cellStyle name="Obliczenia 2 16 25 3" xfId="22494"/>
    <cellStyle name="Obliczenia 2 16 26" xfId="22495"/>
    <cellStyle name="Obliczenia 2 16 26 2" xfId="22496"/>
    <cellStyle name="Obliczenia 2 16 26 3" xfId="22497"/>
    <cellStyle name="Obliczenia 2 16 27" xfId="22498"/>
    <cellStyle name="Obliczenia 2 16 27 2" xfId="22499"/>
    <cellStyle name="Obliczenia 2 16 27 3" xfId="22500"/>
    <cellStyle name="Obliczenia 2 16 28" xfId="22501"/>
    <cellStyle name="Obliczenia 2 16 28 2" xfId="22502"/>
    <cellStyle name="Obliczenia 2 16 28 3" xfId="22503"/>
    <cellStyle name="Obliczenia 2 16 29" xfId="22504"/>
    <cellStyle name="Obliczenia 2 16 29 2" xfId="22505"/>
    <cellStyle name="Obliczenia 2 16 29 3" xfId="22506"/>
    <cellStyle name="Obliczenia 2 16 3" xfId="22507"/>
    <cellStyle name="Obliczenia 2 16 3 2" xfId="22508"/>
    <cellStyle name="Obliczenia 2 16 3 3" xfId="22509"/>
    <cellStyle name="Obliczenia 2 16 3 4" xfId="22510"/>
    <cellStyle name="Obliczenia 2 16 30" xfId="22511"/>
    <cellStyle name="Obliczenia 2 16 30 2" xfId="22512"/>
    <cellStyle name="Obliczenia 2 16 30 3" xfId="22513"/>
    <cellStyle name="Obliczenia 2 16 31" xfId="22514"/>
    <cellStyle name="Obliczenia 2 16 31 2" xfId="22515"/>
    <cellStyle name="Obliczenia 2 16 31 3" xfId="22516"/>
    <cellStyle name="Obliczenia 2 16 32" xfId="22517"/>
    <cellStyle name="Obliczenia 2 16 32 2" xfId="22518"/>
    <cellStyle name="Obliczenia 2 16 32 3" xfId="22519"/>
    <cellStyle name="Obliczenia 2 16 33" xfId="22520"/>
    <cellStyle name="Obliczenia 2 16 33 2" xfId="22521"/>
    <cellStyle name="Obliczenia 2 16 33 3" xfId="22522"/>
    <cellStyle name="Obliczenia 2 16 34" xfId="22523"/>
    <cellStyle name="Obliczenia 2 16 34 2" xfId="22524"/>
    <cellStyle name="Obliczenia 2 16 34 3" xfId="22525"/>
    <cellStyle name="Obliczenia 2 16 35" xfId="22526"/>
    <cellStyle name="Obliczenia 2 16 35 2" xfId="22527"/>
    <cellStyle name="Obliczenia 2 16 35 3" xfId="22528"/>
    <cellStyle name="Obliczenia 2 16 36" xfId="22529"/>
    <cellStyle name="Obliczenia 2 16 36 2" xfId="22530"/>
    <cellStyle name="Obliczenia 2 16 36 3" xfId="22531"/>
    <cellStyle name="Obliczenia 2 16 37" xfId="22532"/>
    <cellStyle name="Obliczenia 2 16 37 2" xfId="22533"/>
    <cellStyle name="Obliczenia 2 16 37 3" xfId="22534"/>
    <cellStyle name="Obliczenia 2 16 38" xfId="22535"/>
    <cellStyle name="Obliczenia 2 16 38 2" xfId="22536"/>
    <cellStyle name="Obliczenia 2 16 38 3" xfId="22537"/>
    <cellStyle name="Obliczenia 2 16 39" xfId="22538"/>
    <cellStyle name="Obliczenia 2 16 39 2" xfId="22539"/>
    <cellStyle name="Obliczenia 2 16 39 3" xfId="22540"/>
    <cellStyle name="Obliczenia 2 16 4" xfId="22541"/>
    <cellStyle name="Obliczenia 2 16 4 2" xfId="22542"/>
    <cellStyle name="Obliczenia 2 16 4 3" xfId="22543"/>
    <cellStyle name="Obliczenia 2 16 4 4" xfId="22544"/>
    <cellStyle name="Obliczenia 2 16 40" xfId="22545"/>
    <cellStyle name="Obliczenia 2 16 40 2" xfId="22546"/>
    <cellStyle name="Obliczenia 2 16 40 3" xfId="22547"/>
    <cellStyle name="Obliczenia 2 16 41" xfId="22548"/>
    <cellStyle name="Obliczenia 2 16 41 2" xfId="22549"/>
    <cellStyle name="Obliczenia 2 16 41 3" xfId="22550"/>
    <cellStyle name="Obliczenia 2 16 42" xfId="22551"/>
    <cellStyle name="Obliczenia 2 16 42 2" xfId="22552"/>
    <cellStyle name="Obliczenia 2 16 42 3" xfId="22553"/>
    <cellStyle name="Obliczenia 2 16 43" xfId="22554"/>
    <cellStyle name="Obliczenia 2 16 43 2" xfId="22555"/>
    <cellStyle name="Obliczenia 2 16 43 3" xfId="22556"/>
    <cellStyle name="Obliczenia 2 16 44" xfId="22557"/>
    <cellStyle name="Obliczenia 2 16 44 2" xfId="22558"/>
    <cellStyle name="Obliczenia 2 16 44 3" xfId="22559"/>
    <cellStyle name="Obliczenia 2 16 45" xfId="22560"/>
    <cellStyle name="Obliczenia 2 16 45 2" xfId="22561"/>
    <cellStyle name="Obliczenia 2 16 45 3" xfId="22562"/>
    <cellStyle name="Obliczenia 2 16 46" xfId="22563"/>
    <cellStyle name="Obliczenia 2 16 46 2" xfId="22564"/>
    <cellStyle name="Obliczenia 2 16 46 3" xfId="22565"/>
    <cellStyle name="Obliczenia 2 16 47" xfId="22566"/>
    <cellStyle name="Obliczenia 2 16 47 2" xfId="22567"/>
    <cellStyle name="Obliczenia 2 16 47 3" xfId="22568"/>
    <cellStyle name="Obliczenia 2 16 48" xfId="22569"/>
    <cellStyle name="Obliczenia 2 16 48 2" xfId="22570"/>
    <cellStyle name="Obliczenia 2 16 48 3" xfId="22571"/>
    <cellStyle name="Obliczenia 2 16 49" xfId="22572"/>
    <cellStyle name="Obliczenia 2 16 49 2" xfId="22573"/>
    <cellStyle name="Obliczenia 2 16 49 3" xfId="22574"/>
    <cellStyle name="Obliczenia 2 16 5" xfId="22575"/>
    <cellStyle name="Obliczenia 2 16 5 2" xfId="22576"/>
    <cellStyle name="Obliczenia 2 16 5 3" xfId="22577"/>
    <cellStyle name="Obliczenia 2 16 5 4" xfId="22578"/>
    <cellStyle name="Obliczenia 2 16 50" xfId="22579"/>
    <cellStyle name="Obliczenia 2 16 50 2" xfId="22580"/>
    <cellStyle name="Obliczenia 2 16 50 3" xfId="22581"/>
    <cellStyle name="Obliczenia 2 16 51" xfId="22582"/>
    <cellStyle name="Obliczenia 2 16 51 2" xfId="22583"/>
    <cellStyle name="Obliczenia 2 16 51 3" xfId="22584"/>
    <cellStyle name="Obliczenia 2 16 52" xfId="22585"/>
    <cellStyle name="Obliczenia 2 16 52 2" xfId="22586"/>
    <cellStyle name="Obliczenia 2 16 52 3" xfId="22587"/>
    <cellStyle name="Obliczenia 2 16 53" xfId="22588"/>
    <cellStyle name="Obliczenia 2 16 53 2" xfId="22589"/>
    <cellStyle name="Obliczenia 2 16 53 3" xfId="22590"/>
    <cellStyle name="Obliczenia 2 16 54" xfId="22591"/>
    <cellStyle name="Obliczenia 2 16 54 2" xfId="22592"/>
    <cellStyle name="Obliczenia 2 16 54 3" xfId="22593"/>
    <cellStyle name="Obliczenia 2 16 55" xfId="22594"/>
    <cellStyle name="Obliczenia 2 16 55 2" xfId="22595"/>
    <cellStyle name="Obliczenia 2 16 55 3" xfId="22596"/>
    <cellStyle name="Obliczenia 2 16 56" xfId="22597"/>
    <cellStyle name="Obliczenia 2 16 56 2" xfId="22598"/>
    <cellStyle name="Obliczenia 2 16 56 3" xfId="22599"/>
    <cellStyle name="Obliczenia 2 16 57" xfId="22600"/>
    <cellStyle name="Obliczenia 2 16 58" xfId="22601"/>
    <cellStyle name="Obliczenia 2 16 6" xfId="22602"/>
    <cellStyle name="Obliczenia 2 16 6 2" xfId="22603"/>
    <cellStyle name="Obliczenia 2 16 6 3" xfId="22604"/>
    <cellStyle name="Obliczenia 2 16 6 4" xfId="22605"/>
    <cellStyle name="Obliczenia 2 16 7" xfId="22606"/>
    <cellStyle name="Obliczenia 2 16 7 2" xfId="22607"/>
    <cellStyle name="Obliczenia 2 16 7 3" xfId="22608"/>
    <cellStyle name="Obliczenia 2 16 7 4" xfId="22609"/>
    <cellStyle name="Obliczenia 2 16 8" xfId="22610"/>
    <cellStyle name="Obliczenia 2 16 8 2" xfId="22611"/>
    <cellStyle name="Obliczenia 2 16 8 3" xfId="22612"/>
    <cellStyle name="Obliczenia 2 16 8 4" xfId="22613"/>
    <cellStyle name="Obliczenia 2 16 9" xfId="22614"/>
    <cellStyle name="Obliczenia 2 16 9 2" xfId="22615"/>
    <cellStyle name="Obliczenia 2 16 9 3" xfId="22616"/>
    <cellStyle name="Obliczenia 2 16 9 4" xfId="22617"/>
    <cellStyle name="Obliczenia 2 17" xfId="22618"/>
    <cellStyle name="Obliczenia 2 17 10" xfId="22619"/>
    <cellStyle name="Obliczenia 2 17 10 2" xfId="22620"/>
    <cellStyle name="Obliczenia 2 17 10 3" xfId="22621"/>
    <cellStyle name="Obliczenia 2 17 10 4" xfId="22622"/>
    <cellStyle name="Obliczenia 2 17 11" xfId="22623"/>
    <cellStyle name="Obliczenia 2 17 11 2" xfId="22624"/>
    <cellStyle name="Obliczenia 2 17 11 3" xfId="22625"/>
    <cellStyle name="Obliczenia 2 17 11 4" xfId="22626"/>
    <cellStyle name="Obliczenia 2 17 12" xfId="22627"/>
    <cellStyle name="Obliczenia 2 17 12 2" xfId="22628"/>
    <cellStyle name="Obliczenia 2 17 12 3" xfId="22629"/>
    <cellStyle name="Obliczenia 2 17 12 4" xfId="22630"/>
    <cellStyle name="Obliczenia 2 17 13" xfId="22631"/>
    <cellStyle name="Obliczenia 2 17 13 2" xfId="22632"/>
    <cellStyle name="Obliczenia 2 17 13 3" xfId="22633"/>
    <cellStyle name="Obliczenia 2 17 13 4" xfId="22634"/>
    <cellStyle name="Obliczenia 2 17 14" xfId="22635"/>
    <cellStyle name="Obliczenia 2 17 14 2" xfId="22636"/>
    <cellStyle name="Obliczenia 2 17 14 3" xfId="22637"/>
    <cellStyle name="Obliczenia 2 17 14 4" xfId="22638"/>
    <cellStyle name="Obliczenia 2 17 15" xfId="22639"/>
    <cellStyle name="Obliczenia 2 17 15 2" xfId="22640"/>
    <cellStyle name="Obliczenia 2 17 15 3" xfId="22641"/>
    <cellStyle name="Obliczenia 2 17 15 4" xfId="22642"/>
    <cellStyle name="Obliczenia 2 17 16" xfId="22643"/>
    <cellStyle name="Obliczenia 2 17 16 2" xfId="22644"/>
    <cellStyle name="Obliczenia 2 17 16 3" xfId="22645"/>
    <cellStyle name="Obliczenia 2 17 16 4" xfId="22646"/>
    <cellStyle name="Obliczenia 2 17 17" xfId="22647"/>
    <cellStyle name="Obliczenia 2 17 17 2" xfId="22648"/>
    <cellStyle name="Obliczenia 2 17 17 3" xfId="22649"/>
    <cellStyle name="Obliczenia 2 17 17 4" xfId="22650"/>
    <cellStyle name="Obliczenia 2 17 18" xfId="22651"/>
    <cellStyle name="Obliczenia 2 17 18 2" xfId="22652"/>
    <cellStyle name="Obliczenia 2 17 18 3" xfId="22653"/>
    <cellStyle name="Obliczenia 2 17 18 4" xfId="22654"/>
    <cellStyle name="Obliczenia 2 17 19" xfId="22655"/>
    <cellStyle name="Obliczenia 2 17 19 2" xfId="22656"/>
    <cellStyle name="Obliczenia 2 17 19 3" xfId="22657"/>
    <cellStyle name="Obliczenia 2 17 19 4" xfId="22658"/>
    <cellStyle name="Obliczenia 2 17 2" xfId="22659"/>
    <cellStyle name="Obliczenia 2 17 2 2" xfId="22660"/>
    <cellStyle name="Obliczenia 2 17 2 3" xfId="22661"/>
    <cellStyle name="Obliczenia 2 17 2 4" xfId="22662"/>
    <cellStyle name="Obliczenia 2 17 20" xfId="22663"/>
    <cellStyle name="Obliczenia 2 17 20 2" xfId="22664"/>
    <cellStyle name="Obliczenia 2 17 20 3" xfId="22665"/>
    <cellStyle name="Obliczenia 2 17 20 4" xfId="22666"/>
    <cellStyle name="Obliczenia 2 17 21" xfId="22667"/>
    <cellStyle name="Obliczenia 2 17 21 2" xfId="22668"/>
    <cellStyle name="Obliczenia 2 17 21 3" xfId="22669"/>
    <cellStyle name="Obliczenia 2 17 22" xfId="22670"/>
    <cellStyle name="Obliczenia 2 17 22 2" xfId="22671"/>
    <cellStyle name="Obliczenia 2 17 22 3" xfId="22672"/>
    <cellStyle name="Obliczenia 2 17 23" xfId="22673"/>
    <cellStyle name="Obliczenia 2 17 23 2" xfId="22674"/>
    <cellStyle name="Obliczenia 2 17 23 3" xfId="22675"/>
    <cellStyle name="Obliczenia 2 17 24" xfId="22676"/>
    <cellStyle name="Obliczenia 2 17 24 2" xfId="22677"/>
    <cellStyle name="Obliczenia 2 17 24 3" xfId="22678"/>
    <cellStyle name="Obliczenia 2 17 25" xfId="22679"/>
    <cellStyle name="Obliczenia 2 17 25 2" xfId="22680"/>
    <cellStyle name="Obliczenia 2 17 25 3" xfId="22681"/>
    <cellStyle name="Obliczenia 2 17 26" xfId="22682"/>
    <cellStyle name="Obliczenia 2 17 26 2" xfId="22683"/>
    <cellStyle name="Obliczenia 2 17 26 3" xfId="22684"/>
    <cellStyle name="Obliczenia 2 17 27" xfId="22685"/>
    <cellStyle name="Obliczenia 2 17 27 2" xfId="22686"/>
    <cellStyle name="Obliczenia 2 17 27 3" xfId="22687"/>
    <cellStyle name="Obliczenia 2 17 28" xfId="22688"/>
    <cellStyle name="Obliczenia 2 17 28 2" xfId="22689"/>
    <cellStyle name="Obliczenia 2 17 28 3" xfId="22690"/>
    <cellStyle name="Obliczenia 2 17 29" xfId="22691"/>
    <cellStyle name="Obliczenia 2 17 29 2" xfId="22692"/>
    <cellStyle name="Obliczenia 2 17 29 3" xfId="22693"/>
    <cellStyle name="Obliczenia 2 17 3" xfId="22694"/>
    <cellStyle name="Obliczenia 2 17 3 2" xfId="22695"/>
    <cellStyle name="Obliczenia 2 17 3 3" xfId="22696"/>
    <cellStyle name="Obliczenia 2 17 3 4" xfId="22697"/>
    <cellStyle name="Obliczenia 2 17 30" xfId="22698"/>
    <cellStyle name="Obliczenia 2 17 30 2" xfId="22699"/>
    <cellStyle name="Obliczenia 2 17 30 3" xfId="22700"/>
    <cellStyle name="Obliczenia 2 17 31" xfId="22701"/>
    <cellStyle name="Obliczenia 2 17 31 2" xfId="22702"/>
    <cellStyle name="Obliczenia 2 17 31 3" xfId="22703"/>
    <cellStyle name="Obliczenia 2 17 32" xfId="22704"/>
    <cellStyle name="Obliczenia 2 17 32 2" xfId="22705"/>
    <cellStyle name="Obliczenia 2 17 32 3" xfId="22706"/>
    <cellStyle name="Obliczenia 2 17 33" xfId="22707"/>
    <cellStyle name="Obliczenia 2 17 33 2" xfId="22708"/>
    <cellStyle name="Obliczenia 2 17 33 3" xfId="22709"/>
    <cellStyle name="Obliczenia 2 17 34" xfId="22710"/>
    <cellStyle name="Obliczenia 2 17 34 2" xfId="22711"/>
    <cellStyle name="Obliczenia 2 17 34 3" xfId="22712"/>
    <cellStyle name="Obliczenia 2 17 35" xfId="22713"/>
    <cellStyle name="Obliczenia 2 17 35 2" xfId="22714"/>
    <cellStyle name="Obliczenia 2 17 35 3" xfId="22715"/>
    <cellStyle name="Obliczenia 2 17 36" xfId="22716"/>
    <cellStyle name="Obliczenia 2 17 36 2" xfId="22717"/>
    <cellStyle name="Obliczenia 2 17 36 3" xfId="22718"/>
    <cellStyle name="Obliczenia 2 17 37" xfId="22719"/>
    <cellStyle name="Obliczenia 2 17 37 2" xfId="22720"/>
    <cellStyle name="Obliczenia 2 17 37 3" xfId="22721"/>
    <cellStyle name="Obliczenia 2 17 38" xfId="22722"/>
    <cellStyle name="Obliczenia 2 17 38 2" xfId="22723"/>
    <cellStyle name="Obliczenia 2 17 38 3" xfId="22724"/>
    <cellStyle name="Obliczenia 2 17 39" xfId="22725"/>
    <cellStyle name="Obliczenia 2 17 39 2" xfId="22726"/>
    <cellStyle name="Obliczenia 2 17 39 3" xfId="22727"/>
    <cellStyle name="Obliczenia 2 17 4" xfId="22728"/>
    <cellStyle name="Obliczenia 2 17 4 2" xfId="22729"/>
    <cellStyle name="Obliczenia 2 17 4 3" xfId="22730"/>
    <cellStyle name="Obliczenia 2 17 4 4" xfId="22731"/>
    <cellStyle name="Obliczenia 2 17 40" xfId="22732"/>
    <cellStyle name="Obliczenia 2 17 40 2" xfId="22733"/>
    <cellStyle name="Obliczenia 2 17 40 3" xfId="22734"/>
    <cellStyle name="Obliczenia 2 17 41" xfId="22735"/>
    <cellStyle name="Obliczenia 2 17 41 2" xfId="22736"/>
    <cellStyle name="Obliczenia 2 17 41 3" xfId="22737"/>
    <cellStyle name="Obliczenia 2 17 42" xfId="22738"/>
    <cellStyle name="Obliczenia 2 17 42 2" xfId="22739"/>
    <cellStyle name="Obliczenia 2 17 42 3" xfId="22740"/>
    <cellStyle name="Obliczenia 2 17 43" xfId="22741"/>
    <cellStyle name="Obliczenia 2 17 43 2" xfId="22742"/>
    <cellStyle name="Obliczenia 2 17 43 3" xfId="22743"/>
    <cellStyle name="Obliczenia 2 17 44" xfId="22744"/>
    <cellStyle name="Obliczenia 2 17 44 2" xfId="22745"/>
    <cellStyle name="Obliczenia 2 17 44 3" xfId="22746"/>
    <cellStyle name="Obliczenia 2 17 45" xfId="22747"/>
    <cellStyle name="Obliczenia 2 17 45 2" xfId="22748"/>
    <cellStyle name="Obliczenia 2 17 45 3" xfId="22749"/>
    <cellStyle name="Obliczenia 2 17 46" xfId="22750"/>
    <cellStyle name="Obliczenia 2 17 46 2" xfId="22751"/>
    <cellStyle name="Obliczenia 2 17 46 3" xfId="22752"/>
    <cellStyle name="Obliczenia 2 17 47" xfId="22753"/>
    <cellStyle name="Obliczenia 2 17 47 2" xfId="22754"/>
    <cellStyle name="Obliczenia 2 17 47 3" xfId="22755"/>
    <cellStyle name="Obliczenia 2 17 48" xfId="22756"/>
    <cellStyle name="Obliczenia 2 17 48 2" xfId="22757"/>
    <cellStyle name="Obliczenia 2 17 48 3" xfId="22758"/>
    <cellStyle name="Obliczenia 2 17 49" xfId="22759"/>
    <cellStyle name="Obliczenia 2 17 49 2" xfId="22760"/>
    <cellStyle name="Obliczenia 2 17 49 3" xfId="22761"/>
    <cellStyle name="Obliczenia 2 17 5" xfId="22762"/>
    <cellStyle name="Obliczenia 2 17 5 2" xfId="22763"/>
    <cellStyle name="Obliczenia 2 17 5 3" xfId="22764"/>
    <cellStyle name="Obliczenia 2 17 5 4" xfId="22765"/>
    <cellStyle name="Obliczenia 2 17 50" xfId="22766"/>
    <cellStyle name="Obliczenia 2 17 50 2" xfId="22767"/>
    <cellStyle name="Obliczenia 2 17 50 3" xfId="22768"/>
    <cellStyle name="Obliczenia 2 17 51" xfId="22769"/>
    <cellStyle name="Obliczenia 2 17 51 2" xfId="22770"/>
    <cellStyle name="Obliczenia 2 17 51 3" xfId="22771"/>
    <cellStyle name="Obliczenia 2 17 52" xfId="22772"/>
    <cellStyle name="Obliczenia 2 17 52 2" xfId="22773"/>
    <cellStyle name="Obliczenia 2 17 52 3" xfId="22774"/>
    <cellStyle name="Obliczenia 2 17 53" xfId="22775"/>
    <cellStyle name="Obliczenia 2 17 53 2" xfId="22776"/>
    <cellStyle name="Obliczenia 2 17 53 3" xfId="22777"/>
    <cellStyle name="Obliczenia 2 17 54" xfId="22778"/>
    <cellStyle name="Obliczenia 2 17 54 2" xfId="22779"/>
    <cellStyle name="Obliczenia 2 17 54 3" xfId="22780"/>
    <cellStyle name="Obliczenia 2 17 55" xfId="22781"/>
    <cellStyle name="Obliczenia 2 17 55 2" xfId="22782"/>
    <cellStyle name="Obliczenia 2 17 55 3" xfId="22783"/>
    <cellStyle name="Obliczenia 2 17 56" xfId="22784"/>
    <cellStyle name="Obliczenia 2 17 56 2" xfId="22785"/>
    <cellStyle name="Obliczenia 2 17 56 3" xfId="22786"/>
    <cellStyle name="Obliczenia 2 17 57" xfId="22787"/>
    <cellStyle name="Obliczenia 2 17 58" xfId="22788"/>
    <cellStyle name="Obliczenia 2 17 6" xfId="22789"/>
    <cellStyle name="Obliczenia 2 17 6 2" xfId="22790"/>
    <cellStyle name="Obliczenia 2 17 6 3" xfId="22791"/>
    <cellStyle name="Obliczenia 2 17 6 4" xfId="22792"/>
    <cellStyle name="Obliczenia 2 17 7" xfId="22793"/>
    <cellStyle name="Obliczenia 2 17 7 2" xfId="22794"/>
    <cellStyle name="Obliczenia 2 17 7 3" xfId="22795"/>
    <cellStyle name="Obliczenia 2 17 7 4" xfId="22796"/>
    <cellStyle name="Obliczenia 2 17 8" xfId="22797"/>
    <cellStyle name="Obliczenia 2 17 8 2" xfId="22798"/>
    <cellStyle name="Obliczenia 2 17 8 3" xfId="22799"/>
    <cellStyle name="Obliczenia 2 17 8 4" xfId="22800"/>
    <cellStyle name="Obliczenia 2 17 9" xfId="22801"/>
    <cellStyle name="Obliczenia 2 17 9 2" xfId="22802"/>
    <cellStyle name="Obliczenia 2 17 9 3" xfId="22803"/>
    <cellStyle name="Obliczenia 2 17 9 4" xfId="22804"/>
    <cellStyle name="Obliczenia 2 18" xfId="22805"/>
    <cellStyle name="Obliczenia 2 18 10" xfId="22806"/>
    <cellStyle name="Obliczenia 2 18 10 2" xfId="22807"/>
    <cellStyle name="Obliczenia 2 18 10 3" xfId="22808"/>
    <cellStyle name="Obliczenia 2 18 10 4" xfId="22809"/>
    <cellStyle name="Obliczenia 2 18 11" xfId="22810"/>
    <cellStyle name="Obliczenia 2 18 11 2" xfId="22811"/>
    <cellStyle name="Obliczenia 2 18 11 3" xfId="22812"/>
    <cellStyle name="Obliczenia 2 18 11 4" xfId="22813"/>
    <cellStyle name="Obliczenia 2 18 12" xfId="22814"/>
    <cellStyle name="Obliczenia 2 18 12 2" xfId="22815"/>
    <cellStyle name="Obliczenia 2 18 12 3" xfId="22816"/>
    <cellStyle name="Obliczenia 2 18 12 4" xfId="22817"/>
    <cellStyle name="Obliczenia 2 18 13" xfId="22818"/>
    <cellStyle name="Obliczenia 2 18 13 2" xfId="22819"/>
    <cellStyle name="Obliczenia 2 18 13 3" xfId="22820"/>
    <cellStyle name="Obliczenia 2 18 13 4" xfId="22821"/>
    <cellStyle name="Obliczenia 2 18 14" xfId="22822"/>
    <cellStyle name="Obliczenia 2 18 14 2" xfId="22823"/>
    <cellStyle name="Obliczenia 2 18 14 3" xfId="22824"/>
    <cellStyle name="Obliczenia 2 18 14 4" xfId="22825"/>
    <cellStyle name="Obliczenia 2 18 15" xfId="22826"/>
    <cellStyle name="Obliczenia 2 18 15 2" xfId="22827"/>
    <cellStyle name="Obliczenia 2 18 15 3" xfId="22828"/>
    <cellStyle name="Obliczenia 2 18 15 4" xfId="22829"/>
    <cellStyle name="Obliczenia 2 18 16" xfId="22830"/>
    <cellStyle name="Obliczenia 2 18 16 2" xfId="22831"/>
    <cellStyle name="Obliczenia 2 18 16 3" xfId="22832"/>
    <cellStyle name="Obliczenia 2 18 16 4" xfId="22833"/>
    <cellStyle name="Obliczenia 2 18 17" xfId="22834"/>
    <cellStyle name="Obliczenia 2 18 17 2" xfId="22835"/>
    <cellStyle name="Obliczenia 2 18 17 3" xfId="22836"/>
    <cellStyle name="Obliczenia 2 18 17 4" xfId="22837"/>
    <cellStyle name="Obliczenia 2 18 18" xfId="22838"/>
    <cellStyle name="Obliczenia 2 18 18 2" xfId="22839"/>
    <cellStyle name="Obliczenia 2 18 18 3" xfId="22840"/>
    <cellStyle name="Obliczenia 2 18 18 4" xfId="22841"/>
    <cellStyle name="Obliczenia 2 18 19" xfId="22842"/>
    <cellStyle name="Obliczenia 2 18 19 2" xfId="22843"/>
    <cellStyle name="Obliczenia 2 18 19 3" xfId="22844"/>
    <cellStyle name="Obliczenia 2 18 19 4" xfId="22845"/>
    <cellStyle name="Obliczenia 2 18 2" xfId="22846"/>
    <cellStyle name="Obliczenia 2 18 2 2" xfId="22847"/>
    <cellStyle name="Obliczenia 2 18 2 3" xfId="22848"/>
    <cellStyle name="Obliczenia 2 18 2 4" xfId="22849"/>
    <cellStyle name="Obliczenia 2 18 20" xfId="22850"/>
    <cellStyle name="Obliczenia 2 18 20 2" xfId="22851"/>
    <cellStyle name="Obliczenia 2 18 20 3" xfId="22852"/>
    <cellStyle name="Obliczenia 2 18 20 4" xfId="22853"/>
    <cellStyle name="Obliczenia 2 18 21" xfId="22854"/>
    <cellStyle name="Obliczenia 2 18 21 2" xfId="22855"/>
    <cellStyle name="Obliczenia 2 18 21 3" xfId="22856"/>
    <cellStyle name="Obliczenia 2 18 22" xfId="22857"/>
    <cellStyle name="Obliczenia 2 18 22 2" xfId="22858"/>
    <cellStyle name="Obliczenia 2 18 22 3" xfId="22859"/>
    <cellStyle name="Obliczenia 2 18 23" xfId="22860"/>
    <cellStyle name="Obliczenia 2 18 23 2" xfId="22861"/>
    <cellStyle name="Obliczenia 2 18 23 3" xfId="22862"/>
    <cellStyle name="Obliczenia 2 18 24" xfId="22863"/>
    <cellStyle name="Obliczenia 2 18 24 2" xfId="22864"/>
    <cellStyle name="Obliczenia 2 18 24 3" xfId="22865"/>
    <cellStyle name="Obliczenia 2 18 25" xfId="22866"/>
    <cellStyle name="Obliczenia 2 18 25 2" xfId="22867"/>
    <cellStyle name="Obliczenia 2 18 25 3" xfId="22868"/>
    <cellStyle name="Obliczenia 2 18 26" xfId="22869"/>
    <cellStyle name="Obliczenia 2 18 26 2" xfId="22870"/>
    <cellStyle name="Obliczenia 2 18 26 3" xfId="22871"/>
    <cellStyle name="Obliczenia 2 18 27" xfId="22872"/>
    <cellStyle name="Obliczenia 2 18 27 2" xfId="22873"/>
    <cellStyle name="Obliczenia 2 18 27 3" xfId="22874"/>
    <cellStyle name="Obliczenia 2 18 28" xfId="22875"/>
    <cellStyle name="Obliczenia 2 18 28 2" xfId="22876"/>
    <cellStyle name="Obliczenia 2 18 28 3" xfId="22877"/>
    <cellStyle name="Obliczenia 2 18 29" xfId="22878"/>
    <cellStyle name="Obliczenia 2 18 29 2" xfId="22879"/>
    <cellStyle name="Obliczenia 2 18 29 3" xfId="22880"/>
    <cellStyle name="Obliczenia 2 18 3" xfId="22881"/>
    <cellStyle name="Obliczenia 2 18 3 2" xfId="22882"/>
    <cellStyle name="Obliczenia 2 18 3 3" xfId="22883"/>
    <cellStyle name="Obliczenia 2 18 3 4" xfId="22884"/>
    <cellStyle name="Obliczenia 2 18 30" xfId="22885"/>
    <cellStyle name="Obliczenia 2 18 30 2" xfId="22886"/>
    <cellStyle name="Obliczenia 2 18 30 3" xfId="22887"/>
    <cellStyle name="Obliczenia 2 18 31" xfId="22888"/>
    <cellStyle name="Obliczenia 2 18 31 2" xfId="22889"/>
    <cellStyle name="Obliczenia 2 18 31 3" xfId="22890"/>
    <cellStyle name="Obliczenia 2 18 32" xfId="22891"/>
    <cellStyle name="Obliczenia 2 18 32 2" xfId="22892"/>
    <cellStyle name="Obliczenia 2 18 32 3" xfId="22893"/>
    <cellStyle name="Obliczenia 2 18 33" xfId="22894"/>
    <cellStyle name="Obliczenia 2 18 33 2" xfId="22895"/>
    <cellStyle name="Obliczenia 2 18 33 3" xfId="22896"/>
    <cellStyle name="Obliczenia 2 18 34" xfId="22897"/>
    <cellStyle name="Obliczenia 2 18 34 2" xfId="22898"/>
    <cellStyle name="Obliczenia 2 18 34 3" xfId="22899"/>
    <cellStyle name="Obliczenia 2 18 35" xfId="22900"/>
    <cellStyle name="Obliczenia 2 18 35 2" xfId="22901"/>
    <cellStyle name="Obliczenia 2 18 35 3" xfId="22902"/>
    <cellStyle name="Obliczenia 2 18 36" xfId="22903"/>
    <cellStyle name="Obliczenia 2 18 36 2" xfId="22904"/>
    <cellStyle name="Obliczenia 2 18 36 3" xfId="22905"/>
    <cellStyle name="Obliczenia 2 18 37" xfId="22906"/>
    <cellStyle name="Obliczenia 2 18 37 2" xfId="22907"/>
    <cellStyle name="Obliczenia 2 18 37 3" xfId="22908"/>
    <cellStyle name="Obliczenia 2 18 38" xfId="22909"/>
    <cellStyle name="Obliczenia 2 18 38 2" xfId="22910"/>
    <cellStyle name="Obliczenia 2 18 38 3" xfId="22911"/>
    <cellStyle name="Obliczenia 2 18 39" xfId="22912"/>
    <cellStyle name="Obliczenia 2 18 39 2" xfId="22913"/>
    <cellStyle name="Obliczenia 2 18 39 3" xfId="22914"/>
    <cellStyle name="Obliczenia 2 18 4" xfId="22915"/>
    <cellStyle name="Obliczenia 2 18 4 2" xfId="22916"/>
    <cellStyle name="Obliczenia 2 18 4 3" xfId="22917"/>
    <cellStyle name="Obliczenia 2 18 4 4" xfId="22918"/>
    <cellStyle name="Obliczenia 2 18 40" xfId="22919"/>
    <cellStyle name="Obliczenia 2 18 40 2" xfId="22920"/>
    <cellStyle name="Obliczenia 2 18 40 3" xfId="22921"/>
    <cellStyle name="Obliczenia 2 18 41" xfId="22922"/>
    <cellStyle name="Obliczenia 2 18 41 2" xfId="22923"/>
    <cellStyle name="Obliczenia 2 18 41 3" xfId="22924"/>
    <cellStyle name="Obliczenia 2 18 42" xfId="22925"/>
    <cellStyle name="Obliczenia 2 18 42 2" xfId="22926"/>
    <cellStyle name="Obliczenia 2 18 42 3" xfId="22927"/>
    <cellStyle name="Obliczenia 2 18 43" xfId="22928"/>
    <cellStyle name="Obliczenia 2 18 43 2" xfId="22929"/>
    <cellStyle name="Obliczenia 2 18 43 3" xfId="22930"/>
    <cellStyle name="Obliczenia 2 18 44" xfId="22931"/>
    <cellStyle name="Obliczenia 2 18 44 2" xfId="22932"/>
    <cellStyle name="Obliczenia 2 18 44 3" xfId="22933"/>
    <cellStyle name="Obliczenia 2 18 45" xfId="22934"/>
    <cellStyle name="Obliczenia 2 18 45 2" xfId="22935"/>
    <cellStyle name="Obliczenia 2 18 45 3" xfId="22936"/>
    <cellStyle name="Obliczenia 2 18 46" xfId="22937"/>
    <cellStyle name="Obliczenia 2 18 46 2" xfId="22938"/>
    <cellStyle name="Obliczenia 2 18 46 3" xfId="22939"/>
    <cellStyle name="Obliczenia 2 18 47" xfId="22940"/>
    <cellStyle name="Obliczenia 2 18 47 2" xfId="22941"/>
    <cellStyle name="Obliczenia 2 18 47 3" xfId="22942"/>
    <cellStyle name="Obliczenia 2 18 48" xfId="22943"/>
    <cellStyle name="Obliczenia 2 18 48 2" xfId="22944"/>
    <cellStyle name="Obliczenia 2 18 48 3" xfId="22945"/>
    <cellStyle name="Obliczenia 2 18 49" xfId="22946"/>
    <cellStyle name="Obliczenia 2 18 49 2" xfId="22947"/>
    <cellStyle name="Obliczenia 2 18 49 3" xfId="22948"/>
    <cellStyle name="Obliczenia 2 18 5" xfId="22949"/>
    <cellStyle name="Obliczenia 2 18 5 2" xfId="22950"/>
    <cellStyle name="Obliczenia 2 18 5 3" xfId="22951"/>
    <cellStyle name="Obliczenia 2 18 5 4" xfId="22952"/>
    <cellStyle name="Obliczenia 2 18 50" xfId="22953"/>
    <cellStyle name="Obliczenia 2 18 50 2" xfId="22954"/>
    <cellStyle name="Obliczenia 2 18 50 3" xfId="22955"/>
    <cellStyle name="Obliczenia 2 18 51" xfId="22956"/>
    <cellStyle name="Obliczenia 2 18 51 2" xfId="22957"/>
    <cellStyle name="Obliczenia 2 18 51 3" xfId="22958"/>
    <cellStyle name="Obliczenia 2 18 52" xfId="22959"/>
    <cellStyle name="Obliczenia 2 18 52 2" xfId="22960"/>
    <cellStyle name="Obliczenia 2 18 52 3" xfId="22961"/>
    <cellStyle name="Obliczenia 2 18 53" xfId="22962"/>
    <cellStyle name="Obliczenia 2 18 53 2" xfId="22963"/>
    <cellStyle name="Obliczenia 2 18 53 3" xfId="22964"/>
    <cellStyle name="Obliczenia 2 18 54" xfId="22965"/>
    <cellStyle name="Obliczenia 2 18 54 2" xfId="22966"/>
    <cellStyle name="Obliczenia 2 18 54 3" xfId="22967"/>
    <cellStyle name="Obliczenia 2 18 55" xfId="22968"/>
    <cellStyle name="Obliczenia 2 18 55 2" xfId="22969"/>
    <cellStyle name="Obliczenia 2 18 55 3" xfId="22970"/>
    <cellStyle name="Obliczenia 2 18 56" xfId="22971"/>
    <cellStyle name="Obliczenia 2 18 56 2" xfId="22972"/>
    <cellStyle name="Obliczenia 2 18 56 3" xfId="22973"/>
    <cellStyle name="Obliczenia 2 18 57" xfId="22974"/>
    <cellStyle name="Obliczenia 2 18 58" xfId="22975"/>
    <cellStyle name="Obliczenia 2 18 6" xfId="22976"/>
    <cellStyle name="Obliczenia 2 18 6 2" xfId="22977"/>
    <cellStyle name="Obliczenia 2 18 6 3" xfId="22978"/>
    <cellStyle name="Obliczenia 2 18 6 4" xfId="22979"/>
    <cellStyle name="Obliczenia 2 18 7" xfId="22980"/>
    <cellStyle name="Obliczenia 2 18 7 2" xfId="22981"/>
    <cellStyle name="Obliczenia 2 18 7 3" xfId="22982"/>
    <cellStyle name="Obliczenia 2 18 7 4" xfId="22983"/>
    <cellStyle name="Obliczenia 2 18 8" xfId="22984"/>
    <cellStyle name="Obliczenia 2 18 8 2" xfId="22985"/>
    <cellStyle name="Obliczenia 2 18 8 3" xfId="22986"/>
    <cellStyle name="Obliczenia 2 18 8 4" xfId="22987"/>
    <cellStyle name="Obliczenia 2 18 9" xfId="22988"/>
    <cellStyle name="Obliczenia 2 18 9 2" xfId="22989"/>
    <cellStyle name="Obliczenia 2 18 9 3" xfId="22990"/>
    <cellStyle name="Obliczenia 2 18 9 4" xfId="22991"/>
    <cellStyle name="Obliczenia 2 19" xfId="22992"/>
    <cellStyle name="Obliczenia 2 19 10" xfId="22993"/>
    <cellStyle name="Obliczenia 2 19 10 2" xfId="22994"/>
    <cellStyle name="Obliczenia 2 19 10 3" xfId="22995"/>
    <cellStyle name="Obliczenia 2 19 10 4" xfId="22996"/>
    <cellStyle name="Obliczenia 2 19 11" xfId="22997"/>
    <cellStyle name="Obliczenia 2 19 11 2" xfId="22998"/>
    <cellStyle name="Obliczenia 2 19 11 3" xfId="22999"/>
    <cellStyle name="Obliczenia 2 19 11 4" xfId="23000"/>
    <cellStyle name="Obliczenia 2 19 12" xfId="23001"/>
    <cellStyle name="Obliczenia 2 19 12 2" xfId="23002"/>
    <cellStyle name="Obliczenia 2 19 12 3" xfId="23003"/>
    <cellStyle name="Obliczenia 2 19 12 4" xfId="23004"/>
    <cellStyle name="Obliczenia 2 19 13" xfId="23005"/>
    <cellStyle name="Obliczenia 2 19 13 2" xfId="23006"/>
    <cellStyle name="Obliczenia 2 19 13 3" xfId="23007"/>
    <cellStyle name="Obliczenia 2 19 13 4" xfId="23008"/>
    <cellStyle name="Obliczenia 2 19 14" xfId="23009"/>
    <cellStyle name="Obliczenia 2 19 14 2" xfId="23010"/>
    <cellStyle name="Obliczenia 2 19 14 3" xfId="23011"/>
    <cellStyle name="Obliczenia 2 19 14 4" xfId="23012"/>
    <cellStyle name="Obliczenia 2 19 15" xfId="23013"/>
    <cellStyle name="Obliczenia 2 19 15 2" xfId="23014"/>
    <cellStyle name="Obliczenia 2 19 15 3" xfId="23015"/>
    <cellStyle name="Obliczenia 2 19 15 4" xfId="23016"/>
    <cellStyle name="Obliczenia 2 19 16" xfId="23017"/>
    <cellStyle name="Obliczenia 2 19 16 2" xfId="23018"/>
    <cellStyle name="Obliczenia 2 19 16 3" xfId="23019"/>
    <cellStyle name="Obliczenia 2 19 16 4" xfId="23020"/>
    <cellStyle name="Obliczenia 2 19 17" xfId="23021"/>
    <cellStyle name="Obliczenia 2 19 17 2" xfId="23022"/>
    <cellStyle name="Obliczenia 2 19 17 3" xfId="23023"/>
    <cellStyle name="Obliczenia 2 19 17 4" xfId="23024"/>
    <cellStyle name="Obliczenia 2 19 18" xfId="23025"/>
    <cellStyle name="Obliczenia 2 19 18 2" xfId="23026"/>
    <cellStyle name="Obliczenia 2 19 18 3" xfId="23027"/>
    <cellStyle name="Obliczenia 2 19 18 4" xfId="23028"/>
    <cellStyle name="Obliczenia 2 19 19" xfId="23029"/>
    <cellStyle name="Obliczenia 2 19 19 2" xfId="23030"/>
    <cellStyle name="Obliczenia 2 19 19 3" xfId="23031"/>
    <cellStyle name="Obliczenia 2 19 19 4" xfId="23032"/>
    <cellStyle name="Obliczenia 2 19 2" xfId="23033"/>
    <cellStyle name="Obliczenia 2 19 2 2" xfId="23034"/>
    <cellStyle name="Obliczenia 2 19 2 3" xfId="23035"/>
    <cellStyle name="Obliczenia 2 19 2 4" xfId="23036"/>
    <cellStyle name="Obliczenia 2 19 20" xfId="23037"/>
    <cellStyle name="Obliczenia 2 19 20 2" xfId="23038"/>
    <cellStyle name="Obliczenia 2 19 20 3" xfId="23039"/>
    <cellStyle name="Obliczenia 2 19 20 4" xfId="23040"/>
    <cellStyle name="Obliczenia 2 19 21" xfId="23041"/>
    <cellStyle name="Obliczenia 2 19 21 2" xfId="23042"/>
    <cellStyle name="Obliczenia 2 19 21 3" xfId="23043"/>
    <cellStyle name="Obliczenia 2 19 22" xfId="23044"/>
    <cellStyle name="Obliczenia 2 19 22 2" xfId="23045"/>
    <cellStyle name="Obliczenia 2 19 22 3" xfId="23046"/>
    <cellStyle name="Obliczenia 2 19 23" xfId="23047"/>
    <cellStyle name="Obliczenia 2 19 23 2" xfId="23048"/>
    <cellStyle name="Obliczenia 2 19 23 3" xfId="23049"/>
    <cellStyle name="Obliczenia 2 19 24" xfId="23050"/>
    <cellStyle name="Obliczenia 2 19 24 2" xfId="23051"/>
    <cellStyle name="Obliczenia 2 19 24 3" xfId="23052"/>
    <cellStyle name="Obliczenia 2 19 25" xfId="23053"/>
    <cellStyle name="Obliczenia 2 19 25 2" xfId="23054"/>
    <cellStyle name="Obliczenia 2 19 25 3" xfId="23055"/>
    <cellStyle name="Obliczenia 2 19 26" xfId="23056"/>
    <cellStyle name="Obliczenia 2 19 26 2" xfId="23057"/>
    <cellStyle name="Obliczenia 2 19 26 3" xfId="23058"/>
    <cellStyle name="Obliczenia 2 19 27" xfId="23059"/>
    <cellStyle name="Obliczenia 2 19 27 2" xfId="23060"/>
    <cellStyle name="Obliczenia 2 19 27 3" xfId="23061"/>
    <cellStyle name="Obliczenia 2 19 28" xfId="23062"/>
    <cellStyle name="Obliczenia 2 19 28 2" xfId="23063"/>
    <cellStyle name="Obliczenia 2 19 28 3" xfId="23064"/>
    <cellStyle name="Obliczenia 2 19 29" xfId="23065"/>
    <cellStyle name="Obliczenia 2 19 29 2" xfId="23066"/>
    <cellStyle name="Obliczenia 2 19 29 3" xfId="23067"/>
    <cellStyle name="Obliczenia 2 19 3" xfId="23068"/>
    <cellStyle name="Obliczenia 2 19 3 2" xfId="23069"/>
    <cellStyle name="Obliczenia 2 19 3 3" xfId="23070"/>
    <cellStyle name="Obliczenia 2 19 3 4" xfId="23071"/>
    <cellStyle name="Obliczenia 2 19 30" xfId="23072"/>
    <cellStyle name="Obliczenia 2 19 30 2" xfId="23073"/>
    <cellStyle name="Obliczenia 2 19 30 3" xfId="23074"/>
    <cellStyle name="Obliczenia 2 19 31" xfId="23075"/>
    <cellStyle name="Obliczenia 2 19 31 2" xfId="23076"/>
    <cellStyle name="Obliczenia 2 19 31 3" xfId="23077"/>
    <cellStyle name="Obliczenia 2 19 32" xfId="23078"/>
    <cellStyle name="Obliczenia 2 19 32 2" xfId="23079"/>
    <cellStyle name="Obliczenia 2 19 32 3" xfId="23080"/>
    <cellStyle name="Obliczenia 2 19 33" xfId="23081"/>
    <cellStyle name="Obliczenia 2 19 33 2" xfId="23082"/>
    <cellStyle name="Obliczenia 2 19 33 3" xfId="23083"/>
    <cellStyle name="Obliczenia 2 19 34" xfId="23084"/>
    <cellStyle name="Obliczenia 2 19 34 2" xfId="23085"/>
    <cellStyle name="Obliczenia 2 19 34 3" xfId="23086"/>
    <cellStyle name="Obliczenia 2 19 35" xfId="23087"/>
    <cellStyle name="Obliczenia 2 19 35 2" xfId="23088"/>
    <cellStyle name="Obliczenia 2 19 35 3" xfId="23089"/>
    <cellStyle name="Obliczenia 2 19 36" xfId="23090"/>
    <cellStyle name="Obliczenia 2 19 36 2" xfId="23091"/>
    <cellStyle name="Obliczenia 2 19 36 3" xfId="23092"/>
    <cellStyle name="Obliczenia 2 19 37" xfId="23093"/>
    <cellStyle name="Obliczenia 2 19 37 2" xfId="23094"/>
    <cellStyle name="Obliczenia 2 19 37 3" xfId="23095"/>
    <cellStyle name="Obliczenia 2 19 38" xfId="23096"/>
    <cellStyle name="Obliczenia 2 19 38 2" xfId="23097"/>
    <cellStyle name="Obliczenia 2 19 38 3" xfId="23098"/>
    <cellStyle name="Obliczenia 2 19 39" xfId="23099"/>
    <cellStyle name="Obliczenia 2 19 39 2" xfId="23100"/>
    <cellStyle name="Obliczenia 2 19 39 3" xfId="23101"/>
    <cellStyle name="Obliczenia 2 19 4" xfId="23102"/>
    <cellStyle name="Obliczenia 2 19 4 2" xfId="23103"/>
    <cellStyle name="Obliczenia 2 19 4 3" xfId="23104"/>
    <cellStyle name="Obliczenia 2 19 4 4" xfId="23105"/>
    <cellStyle name="Obliczenia 2 19 40" xfId="23106"/>
    <cellStyle name="Obliczenia 2 19 40 2" xfId="23107"/>
    <cellStyle name="Obliczenia 2 19 40 3" xfId="23108"/>
    <cellStyle name="Obliczenia 2 19 41" xfId="23109"/>
    <cellStyle name="Obliczenia 2 19 41 2" xfId="23110"/>
    <cellStyle name="Obliczenia 2 19 41 3" xfId="23111"/>
    <cellStyle name="Obliczenia 2 19 42" xfId="23112"/>
    <cellStyle name="Obliczenia 2 19 42 2" xfId="23113"/>
    <cellStyle name="Obliczenia 2 19 42 3" xfId="23114"/>
    <cellStyle name="Obliczenia 2 19 43" xfId="23115"/>
    <cellStyle name="Obliczenia 2 19 43 2" xfId="23116"/>
    <cellStyle name="Obliczenia 2 19 43 3" xfId="23117"/>
    <cellStyle name="Obliczenia 2 19 44" xfId="23118"/>
    <cellStyle name="Obliczenia 2 19 44 2" xfId="23119"/>
    <cellStyle name="Obliczenia 2 19 44 3" xfId="23120"/>
    <cellStyle name="Obliczenia 2 19 45" xfId="23121"/>
    <cellStyle name="Obliczenia 2 19 45 2" xfId="23122"/>
    <cellStyle name="Obliczenia 2 19 45 3" xfId="23123"/>
    <cellStyle name="Obliczenia 2 19 46" xfId="23124"/>
    <cellStyle name="Obliczenia 2 19 46 2" xfId="23125"/>
    <cellStyle name="Obliczenia 2 19 46 3" xfId="23126"/>
    <cellStyle name="Obliczenia 2 19 47" xfId="23127"/>
    <cellStyle name="Obliczenia 2 19 47 2" xfId="23128"/>
    <cellStyle name="Obliczenia 2 19 47 3" xfId="23129"/>
    <cellStyle name="Obliczenia 2 19 48" xfId="23130"/>
    <cellStyle name="Obliczenia 2 19 48 2" xfId="23131"/>
    <cellStyle name="Obliczenia 2 19 48 3" xfId="23132"/>
    <cellStyle name="Obliczenia 2 19 49" xfId="23133"/>
    <cellStyle name="Obliczenia 2 19 49 2" xfId="23134"/>
    <cellStyle name="Obliczenia 2 19 49 3" xfId="23135"/>
    <cellStyle name="Obliczenia 2 19 5" xfId="23136"/>
    <cellStyle name="Obliczenia 2 19 5 2" xfId="23137"/>
    <cellStyle name="Obliczenia 2 19 5 3" xfId="23138"/>
    <cellStyle name="Obliczenia 2 19 5 4" xfId="23139"/>
    <cellStyle name="Obliczenia 2 19 50" xfId="23140"/>
    <cellStyle name="Obliczenia 2 19 50 2" xfId="23141"/>
    <cellStyle name="Obliczenia 2 19 50 3" xfId="23142"/>
    <cellStyle name="Obliczenia 2 19 51" xfId="23143"/>
    <cellStyle name="Obliczenia 2 19 51 2" xfId="23144"/>
    <cellStyle name="Obliczenia 2 19 51 3" xfId="23145"/>
    <cellStyle name="Obliczenia 2 19 52" xfId="23146"/>
    <cellStyle name="Obliczenia 2 19 52 2" xfId="23147"/>
    <cellStyle name="Obliczenia 2 19 52 3" xfId="23148"/>
    <cellStyle name="Obliczenia 2 19 53" xfId="23149"/>
    <cellStyle name="Obliczenia 2 19 53 2" xfId="23150"/>
    <cellStyle name="Obliczenia 2 19 53 3" xfId="23151"/>
    <cellStyle name="Obliczenia 2 19 54" xfId="23152"/>
    <cellStyle name="Obliczenia 2 19 54 2" xfId="23153"/>
    <cellStyle name="Obliczenia 2 19 54 3" xfId="23154"/>
    <cellStyle name="Obliczenia 2 19 55" xfId="23155"/>
    <cellStyle name="Obliczenia 2 19 55 2" xfId="23156"/>
    <cellStyle name="Obliczenia 2 19 55 3" xfId="23157"/>
    <cellStyle name="Obliczenia 2 19 56" xfId="23158"/>
    <cellStyle name="Obliczenia 2 19 56 2" xfId="23159"/>
    <cellStyle name="Obliczenia 2 19 56 3" xfId="23160"/>
    <cellStyle name="Obliczenia 2 19 57" xfId="23161"/>
    <cellStyle name="Obliczenia 2 19 58" xfId="23162"/>
    <cellStyle name="Obliczenia 2 19 6" xfId="23163"/>
    <cellStyle name="Obliczenia 2 19 6 2" xfId="23164"/>
    <cellStyle name="Obliczenia 2 19 6 3" xfId="23165"/>
    <cellStyle name="Obliczenia 2 19 6 4" xfId="23166"/>
    <cellStyle name="Obliczenia 2 19 7" xfId="23167"/>
    <cellStyle name="Obliczenia 2 19 7 2" xfId="23168"/>
    <cellStyle name="Obliczenia 2 19 7 3" xfId="23169"/>
    <cellStyle name="Obliczenia 2 19 7 4" xfId="23170"/>
    <cellStyle name="Obliczenia 2 19 8" xfId="23171"/>
    <cellStyle name="Obliczenia 2 19 8 2" xfId="23172"/>
    <cellStyle name="Obliczenia 2 19 8 3" xfId="23173"/>
    <cellStyle name="Obliczenia 2 19 8 4" xfId="23174"/>
    <cellStyle name="Obliczenia 2 19 9" xfId="23175"/>
    <cellStyle name="Obliczenia 2 19 9 2" xfId="23176"/>
    <cellStyle name="Obliczenia 2 19 9 3" xfId="23177"/>
    <cellStyle name="Obliczenia 2 19 9 4" xfId="23178"/>
    <cellStyle name="Obliczenia 2 2" xfId="23179"/>
    <cellStyle name="Obliczenia 2 2 10" xfId="23180"/>
    <cellStyle name="Obliczenia 2 2 10 2" xfId="23181"/>
    <cellStyle name="Obliczenia 2 2 10 3" xfId="23182"/>
    <cellStyle name="Obliczenia 2 2 10 4" xfId="23183"/>
    <cellStyle name="Obliczenia 2 2 11" xfId="23184"/>
    <cellStyle name="Obliczenia 2 2 11 2" xfId="23185"/>
    <cellStyle name="Obliczenia 2 2 11 3" xfId="23186"/>
    <cellStyle name="Obliczenia 2 2 11 4" xfId="23187"/>
    <cellStyle name="Obliczenia 2 2 12" xfId="23188"/>
    <cellStyle name="Obliczenia 2 2 12 2" xfId="23189"/>
    <cellStyle name="Obliczenia 2 2 12 3" xfId="23190"/>
    <cellStyle name="Obliczenia 2 2 12 4" xfId="23191"/>
    <cellStyle name="Obliczenia 2 2 13" xfId="23192"/>
    <cellStyle name="Obliczenia 2 2 13 2" xfId="23193"/>
    <cellStyle name="Obliczenia 2 2 13 3" xfId="23194"/>
    <cellStyle name="Obliczenia 2 2 13 4" xfId="23195"/>
    <cellStyle name="Obliczenia 2 2 14" xfId="23196"/>
    <cellStyle name="Obliczenia 2 2 14 2" xfId="23197"/>
    <cellStyle name="Obliczenia 2 2 14 3" xfId="23198"/>
    <cellStyle name="Obliczenia 2 2 14 4" xfId="23199"/>
    <cellStyle name="Obliczenia 2 2 15" xfId="23200"/>
    <cellStyle name="Obliczenia 2 2 15 2" xfId="23201"/>
    <cellStyle name="Obliczenia 2 2 15 3" xfId="23202"/>
    <cellStyle name="Obliczenia 2 2 15 4" xfId="23203"/>
    <cellStyle name="Obliczenia 2 2 16" xfId="23204"/>
    <cellStyle name="Obliczenia 2 2 16 2" xfId="23205"/>
    <cellStyle name="Obliczenia 2 2 16 3" xfId="23206"/>
    <cellStyle name="Obliczenia 2 2 16 4" xfId="23207"/>
    <cellStyle name="Obliczenia 2 2 17" xfId="23208"/>
    <cellStyle name="Obliczenia 2 2 17 2" xfId="23209"/>
    <cellStyle name="Obliczenia 2 2 17 3" xfId="23210"/>
    <cellStyle name="Obliczenia 2 2 17 4" xfId="23211"/>
    <cellStyle name="Obliczenia 2 2 18" xfId="23212"/>
    <cellStyle name="Obliczenia 2 2 18 2" xfId="23213"/>
    <cellStyle name="Obliczenia 2 2 18 3" xfId="23214"/>
    <cellStyle name="Obliczenia 2 2 18 4" xfId="23215"/>
    <cellStyle name="Obliczenia 2 2 19" xfId="23216"/>
    <cellStyle name="Obliczenia 2 2 19 2" xfId="23217"/>
    <cellStyle name="Obliczenia 2 2 19 3" xfId="23218"/>
    <cellStyle name="Obliczenia 2 2 19 4" xfId="23219"/>
    <cellStyle name="Obliczenia 2 2 2" xfId="23220"/>
    <cellStyle name="Obliczenia 2 2 2 2" xfId="23221"/>
    <cellStyle name="Obliczenia 2 2 2 3" xfId="23222"/>
    <cellStyle name="Obliczenia 2 2 2 4" xfId="23223"/>
    <cellStyle name="Obliczenia 2 2 20" xfId="23224"/>
    <cellStyle name="Obliczenia 2 2 20 2" xfId="23225"/>
    <cellStyle name="Obliczenia 2 2 20 3" xfId="23226"/>
    <cellStyle name="Obliczenia 2 2 20 4" xfId="23227"/>
    <cellStyle name="Obliczenia 2 2 21" xfId="23228"/>
    <cellStyle name="Obliczenia 2 2 21 2" xfId="23229"/>
    <cellStyle name="Obliczenia 2 2 21 3" xfId="23230"/>
    <cellStyle name="Obliczenia 2 2 22" xfId="23231"/>
    <cellStyle name="Obliczenia 2 2 22 2" xfId="23232"/>
    <cellStyle name="Obliczenia 2 2 22 3" xfId="23233"/>
    <cellStyle name="Obliczenia 2 2 23" xfId="23234"/>
    <cellStyle name="Obliczenia 2 2 23 2" xfId="23235"/>
    <cellStyle name="Obliczenia 2 2 23 3" xfId="23236"/>
    <cellStyle name="Obliczenia 2 2 24" xfId="23237"/>
    <cellStyle name="Obliczenia 2 2 24 2" xfId="23238"/>
    <cellStyle name="Obliczenia 2 2 24 3" xfId="23239"/>
    <cellStyle name="Obliczenia 2 2 25" xfId="23240"/>
    <cellStyle name="Obliczenia 2 2 25 2" xfId="23241"/>
    <cellStyle name="Obliczenia 2 2 25 3" xfId="23242"/>
    <cellStyle name="Obliczenia 2 2 26" xfId="23243"/>
    <cellStyle name="Obliczenia 2 2 26 2" xfId="23244"/>
    <cellStyle name="Obliczenia 2 2 26 3" xfId="23245"/>
    <cellStyle name="Obliczenia 2 2 27" xfId="23246"/>
    <cellStyle name="Obliczenia 2 2 27 2" xfId="23247"/>
    <cellStyle name="Obliczenia 2 2 27 3" xfId="23248"/>
    <cellStyle name="Obliczenia 2 2 28" xfId="23249"/>
    <cellStyle name="Obliczenia 2 2 28 2" xfId="23250"/>
    <cellStyle name="Obliczenia 2 2 28 3" xfId="23251"/>
    <cellStyle name="Obliczenia 2 2 29" xfId="23252"/>
    <cellStyle name="Obliczenia 2 2 29 2" xfId="23253"/>
    <cellStyle name="Obliczenia 2 2 29 3" xfId="23254"/>
    <cellStyle name="Obliczenia 2 2 3" xfId="23255"/>
    <cellStyle name="Obliczenia 2 2 3 2" xfId="23256"/>
    <cellStyle name="Obliczenia 2 2 3 3" xfId="23257"/>
    <cellStyle name="Obliczenia 2 2 3 4" xfId="23258"/>
    <cellStyle name="Obliczenia 2 2 30" xfId="23259"/>
    <cellStyle name="Obliczenia 2 2 30 2" xfId="23260"/>
    <cellStyle name="Obliczenia 2 2 30 3" xfId="23261"/>
    <cellStyle name="Obliczenia 2 2 31" xfId="23262"/>
    <cellStyle name="Obliczenia 2 2 31 2" xfId="23263"/>
    <cellStyle name="Obliczenia 2 2 31 3" xfId="23264"/>
    <cellStyle name="Obliczenia 2 2 32" xfId="23265"/>
    <cellStyle name="Obliczenia 2 2 32 2" xfId="23266"/>
    <cellStyle name="Obliczenia 2 2 32 3" xfId="23267"/>
    <cellStyle name="Obliczenia 2 2 33" xfId="23268"/>
    <cellStyle name="Obliczenia 2 2 33 2" xfId="23269"/>
    <cellStyle name="Obliczenia 2 2 33 3" xfId="23270"/>
    <cellStyle name="Obliczenia 2 2 34" xfId="23271"/>
    <cellStyle name="Obliczenia 2 2 34 2" xfId="23272"/>
    <cellStyle name="Obliczenia 2 2 34 3" xfId="23273"/>
    <cellStyle name="Obliczenia 2 2 35" xfId="23274"/>
    <cellStyle name="Obliczenia 2 2 35 2" xfId="23275"/>
    <cellStyle name="Obliczenia 2 2 35 3" xfId="23276"/>
    <cellStyle name="Obliczenia 2 2 36" xfId="23277"/>
    <cellStyle name="Obliczenia 2 2 36 2" xfId="23278"/>
    <cellStyle name="Obliczenia 2 2 36 3" xfId="23279"/>
    <cellStyle name="Obliczenia 2 2 37" xfId="23280"/>
    <cellStyle name="Obliczenia 2 2 37 2" xfId="23281"/>
    <cellStyle name="Obliczenia 2 2 37 3" xfId="23282"/>
    <cellStyle name="Obliczenia 2 2 38" xfId="23283"/>
    <cellStyle name="Obliczenia 2 2 38 2" xfId="23284"/>
    <cellStyle name="Obliczenia 2 2 38 3" xfId="23285"/>
    <cellStyle name="Obliczenia 2 2 39" xfId="23286"/>
    <cellStyle name="Obliczenia 2 2 39 2" xfId="23287"/>
    <cellStyle name="Obliczenia 2 2 39 3" xfId="23288"/>
    <cellStyle name="Obliczenia 2 2 4" xfId="23289"/>
    <cellStyle name="Obliczenia 2 2 4 2" xfId="23290"/>
    <cellStyle name="Obliczenia 2 2 4 3" xfId="23291"/>
    <cellStyle name="Obliczenia 2 2 4 4" xfId="23292"/>
    <cellStyle name="Obliczenia 2 2 40" xfId="23293"/>
    <cellStyle name="Obliczenia 2 2 40 2" xfId="23294"/>
    <cellStyle name="Obliczenia 2 2 40 3" xfId="23295"/>
    <cellStyle name="Obliczenia 2 2 41" xfId="23296"/>
    <cellStyle name="Obliczenia 2 2 41 2" xfId="23297"/>
    <cellStyle name="Obliczenia 2 2 41 3" xfId="23298"/>
    <cellStyle name="Obliczenia 2 2 42" xfId="23299"/>
    <cellStyle name="Obliczenia 2 2 42 2" xfId="23300"/>
    <cellStyle name="Obliczenia 2 2 42 3" xfId="23301"/>
    <cellStyle name="Obliczenia 2 2 43" xfId="23302"/>
    <cellStyle name="Obliczenia 2 2 43 2" xfId="23303"/>
    <cellStyle name="Obliczenia 2 2 43 3" xfId="23304"/>
    <cellStyle name="Obliczenia 2 2 44" xfId="23305"/>
    <cellStyle name="Obliczenia 2 2 44 2" xfId="23306"/>
    <cellStyle name="Obliczenia 2 2 44 3" xfId="23307"/>
    <cellStyle name="Obliczenia 2 2 45" xfId="23308"/>
    <cellStyle name="Obliczenia 2 2 45 2" xfId="23309"/>
    <cellStyle name="Obliczenia 2 2 45 3" xfId="23310"/>
    <cellStyle name="Obliczenia 2 2 46" xfId="23311"/>
    <cellStyle name="Obliczenia 2 2 46 2" xfId="23312"/>
    <cellStyle name="Obliczenia 2 2 46 3" xfId="23313"/>
    <cellStyle name="Obliczenia 2 2 47" xfId="23314"/>
    <cellStyle name="Obliczenia 2 2 47 2" xfId="23315"/>
    <cellStyle name="Obliczenia 2 2 47 3" xfId="23316"/>
    <cellStyle name="Obliczenia 2 2 48" xfId="23317"/>
    <cellStyle name="Obliczenia 2 2 48 2" xfId="23318"/>
    <cellStyle name="Obliczenia 2 2 48 3" xfId="23319"/>
    <cellStyle name="Obliczenia 2 2 49" xfId="23320"/>
    <cellStyle name="Obliczenia 2 2 49 2" xfId="23321"/>
    <cellStyle name="Obliczenia 2 2 49 3" xfId="23322"/>
    <cellStyle name="Obliczenia 2 2 5" xfId="23323"/>
    <cellStyle name="Obliczenia 2 2 5 2" xfId="23324"/>
    <cellStyle name="Obliczenia 2 2 5 3" xfId="23325"/>
    <cellStyle name="Obliczenia 2 2 5 4" xfId="23326"/>
    <cellStyle name="Obliczenia 2 2 50" xfId="23327"/>
    <cellStyle name="Obliczenia 2 2 50 2" xfId="23328"/>
    <cellStyle name="Obliczenia 2 2 50 3" xfId="23329"/>
    <cellStyle name="Obliczenia 2 2 51" xfId="23330"/>
    <cellStyle name="Obliczenia 2 2 51 2" xfId="23331"/>
    <cellStyle name="Obliczenia 2 2 51 3" xfId="23332"/>
    <cellStyle name="Obliczenia 2 2 52" xfId="23333"/>
    <cellStyle name="Obliczenia 2 2 52 2" xfId="23334"/>
    <cellStyle name="Obliczenia 2 2 52 3" xfId="23335"/>
    <cellStyle name="Obliczenia 2 2 53" xfId="23336"/>
    <cellStyle name="Obliczenia 2 2 53 2" xfId="23337"/>
    <cellStyle name="Obliczenia 2 2 53 3" xfId="23338"/>
    <cellStyle name="Obliczenia 2 2 54" xfId="23339"/>
    <cellStyle name="Obliczenia 2 2 54 2" xfId="23340"/>
    <cellStyle name="Obliczenia 2 2 54 3" xfId="23341"/>
    <cellStyle name="Obliczenia 2 2 55" xfId="23342"/>
    <cellStyle name="Obliczenia 2 2 55 2" xfId="23343"/>
    <cellStyle name="Obliczenia 2 2 55 3" xfId="23344"/>
    <cellStyle name="Obliczenia 2 2 56" xfId="23345"/>
    <cellStyle name="Obliczenia 2 2 56 2" xfId="23346"/>
    <cellStyle name="Obliczenia 2 2 56 3" xfId="23347"/>
    <cellStyle name="Obliczenia 2 2 57" xfId="23348"/>
    <cellStyle name="Obliczenia 2 2 58" xfId="23349"/>
    <cellStyle name="Obliczenia 2 2 59" xfId="23350"/>
    <cellStyle name="Obliczenia 2 2 6" xfId="23351"/>
    <cellStyle name="Obliczenia 2 2 6 2" xfId="23352"/>
    <cellStyle name="Obliczenia 2 2 6 3" xfId="23353"/>
    <cellStyle name="Obliczenia 2 2 6 4" xfId="23354"/>
    <cellStyle name="Obliczenia 2 2 7" xfId="23355"/>
    <cellStyle name="Obliczenia 2 2 7 2" xfId="23356"/>
    <cellStyle name="Obliczenia 2 2 7 3" xfId="23357"/>
    <cellStyle name="Obliczenia 2 2 7 4" xfId="23358"/>
    <cellStyle name="Obliczenia 2 2 8" xfId="23359"/>
    <cellStyle name="Obliczenia 2 2 8 2" xfId="23360"/>
    <cellStyle name="Obliczenia 2 2 8 3" xfId="23361"/>
    <cellStyle name="Obliczenia 2 2 8 4" xfId="23362"/>
    <cellStyle name="Obliczenia 2 2 9" xfId="23363"/>
    <cellStyle name="Obliczenia 2 2 9 2" xfId="23364"/>
    <cellStyle name="Obliczenia 2 2 9 3" xfId="23365"/>
    <cellStyle name="Obliczenia 2 2 9 4" xfId="23366"/>
    <cellStyle name="Obliczenia 2 20" xfId="23367"/>
    <cellStyle name="Obliczenia 2 20 10" xfId="23368"/>
    <cellStyle name="Obliczenia 2 20 10 2" xfId="23369"/>
    <cellStyle name="Obliczenia 2 20 10 3" xfId="23370"/>
    <cellStyle name="Obliczenia 2 20 10 4" xfId="23371"/>
    <cellStyle name="Obliczenia 2 20 11" xfId="23372"/>
    <cellStyle name="Obliczenia 2 20 11 2" xfId="23373"/>
    <cellStyle name="Obliczenia 2 20 11 3" xfId="23374"/>
    <cellStyle name="Obliczenia 2 20 11 4" xfId="23375"/>
    <cellStyle name="Obliczenia 2 20 12" xfId="23376"/>
    <cellStyle name="Obliczenia 2 20 12 2" xfId="23377"/>
    <cellStyle name="Obliczenia 2 20 12 3" xfId="23378"/>
    <cellStyle name="Obliczenia 2 20 12 4" xfId="23379"/>
    <cellStyle name="Obliczenia 2 20 13" xfId="23380"/>
    <cellStyle name="Obliczenia 2 20 13 2" xfId="23381"/>
    <cellStyle name="Obliczenia 2 20 13 3" xfId="23382"/>
    <cellStyle name="Obliczenia 2 20 13 4" xfId="23383"/>
    <cellStyle name="Obliczenia 2 20 14" xfId="23384"/>
    <cellStyle name="Obliczenia 2 20 14 2" xfId="23385"/>
    <cellStyle name="Obliczenia 2 20 14 3" xfId="23386"/>
    <cellStyle name="Obliczenia 2 20 14 4" xfId="23387"/>
    <cellStyle name="Obliczenia 2 20 15" xfId="23388"/>
    <cellStyle name="Obliczenia 2 20 15 2" xfId="23389"/>
    <cellStyle name="Obliczenia 2 20 15 3" xfId="23390"/>
    <cellStyle name="Obliczenia 2 20 15 4" xfId="23391"/>
    <cellStyle name="Obliczenia 2 20 16" xfId="23392"/>
    <cellStyle name="Obliczenia 2 20 16 2" xfId="23393"/>
    <cellStyle name="Obliczenia 2 20 16 3" xfId="23394"/>
    <cellStyle name="Obliczenia 2 20 16 4" xfId="23395"/>
    <cellStyle name="Obliczenia 2 20 17" xfId="23396"/>
    <cellStyle name="Obliczenia 2 20 17 2" xfId="23397"/>
    <cellStyle name="Obliczenia 2 20 17 3" xfId="23398"/>
    <cellStyle name="Obliczenia 2 20 17 4" xfId="23399"/>
    <cellStyle name="Obliczenia 2 20 18" xfId="23400"/>
    <cellStyle name="Obliczenia 2 20 18 2" xfId="23401"/>
    <cellStyle name="Obliczenia 2 20 18 3" xfId="23402"/>
    <cellStyle name="Obliczenia 2 20 18 4" xfId="23403"/>
    <cellStyle name="Obliczenia 2 20 19" xfId="23404"/>
    <cellStyle name="Obliczenia 2 20 19 2" xfId="23405"/>
    <cellStyle name="Obliczenia 2 20 19 3" xfId="23406"/>
    <cellStyle name="Obliczenia 2 20 19 4" xfId="23407"/>
    <cellStyle name="Obliczenia 2 20 2" xfId="23408"/>
    <cellStyle name="Obliczenia 2 20 2 2" xfId="23409"/>
    <cellStyle name="Obliczenia 2 20 2 3" xfId="23410"/>
    <cellStyle name="Obliczenia 2 20 2 4" xfId="23411"/>
    <cellStyle name="Obliczenia 2 20 20" xfId="23412"/>
    <cellStyle name="Obliczenia 2 20 20 2" xfId="23413"/>
    <cellStyle name="Obliczenia 2 20 20 3" xfId="23414"/>
    <cellStyle name="Obliczenia 2 20 20 4" xfId="23415"/>
    <cellStyle name="Obliczenia 2 20 21" xfId="23416"/>
    <cellStyle name="Obliczenia 2 20 21 2" xfId="23417"/>
    <cellStyle name="Obliczenia 2 20 21 3" xfId="23418"/>
    <cellStyle name="Obliczenia 2 20 22" xfId="23419"/>
    <cellStyle name="Obliczenia 2 20 22 2" xfId="23420"/>
    <cellStyle name="Obliczenia 2 20 22 3" xfId="23421"/>
    <cellStyle name="Obliczenia 2 20 23" xfId="23422"/>
    <cellStyle name="Obliczenia 2 20 23 2" xfId="23423"/>
    <cellStyle name="Obliczenia 2 20 23 3" xfId="23424"/>
    <cellStyle name="Obliczenia 2 20 24" xfId="23425"/>
    <cellStyle name="Obliczenia 2 20 24 2" xfId="23426"/>
    <cellStyle name="Obliczenia 2 20 24 3" xfId="23427"/>
    <cellStyle name="Obliczenia 2 20 25" xfId="23428"/>
    <cellStyle name="Obliczenia 2 20 25 2" xfId="23429"/>
    <cellStyle name="Obliczenia 2 20 25 3" xfId="23430"/>
    <cellStyle name="Obliczenia 2 20 26" xfId="23431"/>
    <cellStyle name="Obliczenia 2 20 26 2" xfId="23432"/>
    <cellStyle name="Obliczenia 2 20 26 3" xfId="23433"/>
    <cellStyle name="Obliczenia 2 20 27" xfId="23434"/>
    <cellStyle name="Obliczenia 2 20 27 2" xfId="23435"/>
    <cellStyle name="Obliczenia 2 20 27 3" xfId="23436"/>
    <cellStyle name="Obliczenia 2 20 28" xfId="23437"/>
    <cellStyle name="Obliczenia 2 20 28 2" xfId="23438"/>
    <cellStyle name="Obliczenia 2 20 28 3" xfId="23439"/>
    <cellStyle name="Obliczenia 2 20 29" xfId="23440"/>
    <cellStyle name="Obliczenia 2 20 29 2" xfId="23441"/>
    <cellStyle name="Obliczenia 2 20 29 3" xfId="23442"/>
    <cellStyle name="Obliczenia 2 20 3" xfId="23443"/>
    <cellStyle name="Obliczenia 2 20 3 2" xfId="23444"/>
    <cellStyle name="Obliczenia 2 20 3 3" xfId="23445"/>
    <cellStyle name="Obliczenia 2 20 3 4" xfId="23446"/>
    <cellStyle name="Obliczenia 2 20 30" xfId="23447"/>
    <cellStyle name="Obliczenia 2 20 30 2" xfId="23448"/>
    <cellStyle name="Obliczenia 2 20 30 3" xfId="23449"/>
    <cellStyle name="Obliczenia 2 20 31" xfId="23450"/>
    <cellStyle name="Obliczenia 2 20 31 2" xfId="23451"/>
    <cellStyle name="Obliczenia 2 20 31 3" xfId="23452"/>
    <cellStyle name="Obliczenia 2 20 32" xfId="23453"/>
    <cellStyle name="Obliczenia 2 20 32 2" xfId="23454"/>
    <cellStyle name="Obliczenia 2 20 32 3" xfId="23455"/>
    <cellStyle name="Obliczenia 2 20 33" xfId="23456"/>
    <cellStyle name="Obliczenia 2 20 33 2" xfId="23457"/>
    <cellStyle name="Obliczenia 2 20 33 3" xfId="23458"/>
    <cellStyle name="Obliczenia 2 20 34" xfId="23459"/>
    <cellStyle name="Obliczenia 2 20 34 2" xfId="23460"/>
    <cellStyle name="Obliczenia 2 20 34 3" xfId="23461"/>
    <cellStyle name="Obliczenia 2 20 35" xfId="23462"/>
    <cellStyle name="Obliczenia 2 20 35 2" xfId="23463"/>
    <cellStyle name="Obliczenia 2 20 35 3" xfId="23464"/>
    <cellStyle name="Obliczenia 2 20 36" xfId="23465"/>
    <cellStyle name="Obliczenia 2 20 36 2" xfId="23466"/>
    <cellStyle name="Obliczenia 2 20 36 3" xfId="23467"/>
    <cellStyle name="Obliczenia 2 20 37" xfId="23468"/>
    <cellStyle name="Obliczenia 2 20 37 2" xfId="23469"/>
    <cellStyle name="Obliczenia 2 20 37 3" xfId="23470"/>
    <cellStyle name="Obliczenia 2 20 38" xfId="23471"/>
    <cellStyle name="Obliczenia 2 20 38 2" xfId="23472"/>
    <cellStyle name="Obliczenia 2 20 38 3" xfId="23473"/>
    <cellStyle name="Obliczenia 2 20 39" xfId="23474"/>
    <cellStyle name="Obliczenia 2 20 39 2" xfId="23475"/>
    <cellStyle name="Obliczenia 2 20 39 3" xfId="23476"/>
    <cellStyle name="Obliczenia 2 20 4" xfId="23477"/>
    <cellStyle name="Obliczenia 2 20 4 2" xfId="23478"/>
    <cellStyle name="Obliczenia 2 20 4 3" xfId="23479"/>
    <cellStyle name="Obliczenia 2 20 4 4" xfId="23480"/>
    <cellStyle name="Obliczenia 2 20 40" xfId="23481"/>
    <cellStyle name="Obliczenia 2 20 40 2" xfId="23482"/>
    <cellStyle name="Obliczenia 2 20 40 3" xfId="23483"/>
    <cellStyle name="Obliczenia 2 20 41" xfId="23484"/>
    <cellStyle name="Obliczenia 2 20 41 2" xfId="23485"/>
    <cellStyle name="Obliczenia 2 20 41 3" xfId="23486"/>
    <cellStyle name="Obliczenia 2 20 42" xfId="23487"/>
    <cellStyle name="Obliczenia 2 20 42 2" xfId="23488"/>
    <cellStyle name="Obliczenia 2 20 42 3" xfId="23489"/>
    <cellStyle name="Obliczenia 2 20 43" xfId="23490"/>
    <cellStyle name="Obliczenia 2 20 43 2" xfId="23491"/>
    <cellStyle name="Obliczenia 2 20 43 3" xfId="23492"/>
    <cellStyle name="Obliczenia 2 20 44" xfId="23493"/>
    <cellStyle name="Obliczenia 2 20 44 2" xfId="23494"/>
    <cellStyle name="Obliczenia 2 20 44 3" xfId="23495"/>
    <cellStyle name="Obliczenia 2 20 45" xfId="23496"/>
    <cellStyle name="Obliczenia 2 20 45 2" xfId="23497"/>
    <cellStyle name="Obliczenia 2 20 45 3" xfId="23498"/>
    <cellStyle name="Obliczenia 2 20 46" xfId="23499"/>
    <cellStyle name="Obliczenia 2 20 46 2" xfId="23500"/>
    <cellStyle name="Obliczenia 2 20 46 3" xfId="23501"/>
    <cellStyle name="Obliczenia 2 20 47" xfId="23502"/>
    <cellStyle name="Obliczenia 2 20 47 2" xfId="23503"/>
    <cellStyle name="Obliczenia 2 20 47 3" xfId="23504"/>
    <cellStyle name="Obliczenia 2 20 48" xfId="23505"/>
    <cellStyle name="Obliczenia 2 20 48 2" xfId="23506"/>
    <cellStyle name="Obliczenia 2 20 48 3" xfId="23507"/>
    <cellStyle name="Obliczenia 2 20 49" xfId="23508"/>
    <cellStyle name="Obliczenia 2 20 49 2" xfId="23509"/>
    <cellStyle name="Obliczenia 2 20 49 3" xfId="23510"/>
    <cellStyle name="Obliczenia 2 20 5" xfId="23511"/>
    <cellStyle name="Obliczenia 2 20 5 2" xfId="23512"/>
    <cellStyle name="Obliczenia 2 20 5 3" xfId="23513"/>
    <cellStyle name="Obliczenia 2 20 5 4" xfId="23514"/>
    <cellStyle name="Obliczenia 2 20 50" xfId="23515"/>
    <cellStyle name="Obliczenia 2 20 50 2" xfId="23516"/>
    <cellStyle name="Obliczenia 2 20 50 3" xfId="23517"/>
    <cellStyle name="Obliczenia 2 20 51" xfId="23518"/>
    <cellStyle name="Obliczenia 2 20 51 2" xfId="23519"/>
    <cellStyle name="Obliczenia 2 20 51 3" xfId="23520"/>
    <cellStyle name="Obliczenia 2 20 52" xfId="23521"/>
    <cellStyle name="Obliczenia 2 20 52 2" xfId="23522"/>
    <cellStyle name="Obliczenia 2 20 52 3" xfId="23523"/>
    <cellStyle name="Obliczenia 2 20 53" xfId="23524"/>
    <cellStyle name="Obliczenia 2 20 53 2" xfId="23525"/>
    <cellStyle name="Obliczenia 2 20 53 3" xfId="23526"/>
    <cellStyle name="Obliczenia 2 20 54" xfId="23527"/>
    <cellStyle name="Obliczenia 2 20 54 2" xfId="23528"/>
    <cellStyle name="Obliczenia 2 20 54 3" xfId="23529"/>
    <cellStyle name="Obliczenia 2 20 55" xfId="23530"/>
    <cellStyle name="Obliczenia 2 20 55 2" xfId="23531"/>
    <cellStyle name="Obliczenia 2 20 55 3" xfId="23532"/>
    <cellStyle name="Obliczenia 2 20 56" xfId="23533"/>
    <cellStyle name="Obliczenia 2 20 56 2" xfId="23534"/>
    <cellStyle name="Obliczenia 2 20 56 3" xfId="23535"/>
    <cellStyle name="Obliczenia 2 20 57" xfId="23536"/>
    <cellStyle name="Obliczenia 2 20 58" xfId="23537"/>
    <cellStyle name="Obliczenia 2 20 6" xfId="23538"/>
    <cellStyle name="Obliczenia 2 20 6 2" xfId="23539"/>
    <cellStyle name="Obliczenia 2 20 6 3" xfId="23540"/>
    <cellStyle name="Obliczenia 2 20 6 4" xfId="23541"/>
    <cellStyle name="Obliczenia 2 20 7" xfId="23542"/>
    <cellStyle name="Obliczenia 2 20 7 2" xfId="23543"/>
    <cellStyle name="Obliczenia 2 20 7 3" xfId="23544"/>
    <cellStyle name="Obliczenia 2 20 7 4" xfId="23545"/>
    <cellStyle name="Obliczenia 2 20 8" xfId="23546"/>
    <cellStyle name="Obliczenia 2 20 8 2" xfId="23547"/>
    <cellStyle name="Obliczenia 2 20 8 3" xfId="23548"/>
    <cellStyle name="Obliczenia 2 20 8 4" xfId="23549"/>
    <cellStyle name="Obliczenia 2 20 9" xfId="23550"/>
    <cellStyle name="Obliczenia 2 20 9 2" xfId="23551"/>
    <cellStyle name="Obliczenia 2 20 9 3" xfId="23552"/>
    <cellStyle name="Obliczenia 2 20 9 4" xfId="23553"/>
    <cellStyle name="Obliczenia 2 21" xfId="23554"/>
    <cellStyle name="Obliczenia 2 21 10" xfId="23555"/>
    <cellStyle name="Obliczenia 2 21 10 2" xfId="23556"/>
    <cellStyle name="Obliczenia 2 21 10 3" xfId="23557"/>
    <cellStyle name="Obliczenia 2 21 10 4" xfId="23558"/>
    <cellStyle name="Obliczenia 2 21 11" xfId="23559"/>
    <cellStyle name="Obliczenia 2 21 11 2" xfId="23560"/>
    <cellStyle name="Obliczenia 2 21 11 3" xfId="23561"/>
    <cellStyle name="Obliczenia 2 21 11 4" xfId="23562"/>
    <cellStyle name="Obliczenia 2 21 12" xfId="23563"/>
    <cellStyle name="Obliczenia 2 21 12 2" xfId="23564"/>
    <cellStyle name="Obliczenia 2 21 12 3" xfId="23565"/>
    <cellStyle name="Obliczenia 2 21 12 4" xfId="23566"/>
    <cellStyle name="Obliczenia 2 21 13" xfId="23567"/>
    <cellStyle name="Obliczenia 2 21 13 2" xfId="23568"/>
    <cellStyle name="Obliczenia 2 21 13 3" xfId="23569"/>
    <cellStyle name="Obliczenia 2 21 13 4" xfId="23570"/>
    <cellStyle name="Obliczenia 2 21 14" xfId="23571"/>
    <cellStyle name="Obliczenia 2 21 14 2" xfId="23572"/>
    <cellStyle name="Obliczenia 2 21 14 3" xfId="23573"/>
    <cellStyle name="Obliczenia 2 21 14 4" xfId="23574"/>
    <cellStyle name="Obliczenia 2 21 15" xfId="23575"/>
    <cellStyle name="Obliczenia 2 21 15 2" xfId="23576"/>
    <cellStyle name="Obliczenia 2 21 15 3" xfId="23577"/>
    <cellStyle name="Obliczenia 2 21 15 4" xfId="23578"/>
    <cellStyle name="Obliczenia 2 21 16" xfId="23579"/>
    <cellStyle name="Obliczenia 2 21 16 2" xfId="23580"/>
    <cellStyle name="Obliczenia 2 21 16 3" xfId="23581"/>
    <cellStyle name="Obliczenia 2 21 16 4" xfId="23582"/>
    <cellStyle name="Obliczenia 2 21 17" xfId="23583"/>
    <cellStyle name="Obliczenia 2 21 17 2" xfId="23584"/>
    <cellStyle name="Obliczenia 2 21 17 3" xfId="23585"/>
    <cellStyle name="Obliczenia 2 21 17 4" xfId="23586"/>
    <cellStyle name="Obliczenia 2 21 18" xfId="23587"/>
    <cellStyle name="Obliczenia 2 21 18 2" xfId="23588"/>
    <cellStyle name="Obliczenia 2 21 18 3" xfId="23589"/>
    <cellStyle name="Obliczenia 2 21 18 4" xfId="23590"/>
    <cellStyle name="Obliczenia 2 21 19" xfId="23591"/>
    <cellStyle name="Obliczenia 2 21 19 2" xfId="23592"/>
    <cellStyle name="Obliczenia 2 21 19 3" xfId="23593"/>
    <cellStyle name="Obliczenia 2 21 19 4" xfId="23594"/>
    <cellStyle name="Obliczenia 2 21 2" xfId="23595"/>
    <cellStyle name="Obliczenia 2 21 2 2" xfId="23596"/>
    <cellStyle name="Obliczenia 2 21 2 3" xfId="23597"/>
    <cellStyle name="Obliczenia 2 21 2 4" xfId="23598"/>
    <cellStyle name="Obliczenia 2 21 20" xfId="23599"/>
    <cellStyle name="Obliczenia 2 21 20 2" xfId="23600"/>
    <cellStyle name="Obliczenia 2 21 20 3" xfId="23601"/>
    <cellStyle name="Obliczenia 2 21 20 4" xfId="23602"/>
    <cellStyle name="Obliczenia 2 21 21" xfId="23603"/>
    <cellStyle name="Obliczenia 2 21 21 2" xfId="23604"/>
    <cellStyle name="Obliczenia 2 21 21 3" xfId="23605"/>
    <cellStyle name="Obliczenia 2 21 22" xfId="23606"/>
    <cellStyle name="Obliczenia 2 21 22 2" xfId="23607"/>
    <cellStyle name="Obliczenia 2 21 22 3" xfId="23608"/>
    <cellStyle name="Obliczenia 2 21 23" xfId="23609"/>
    <cellStyle name="Obliczenia 2 21 23 2" xfId="23610"/>
    <cellStyle name="Obliczenia 2 21 23 3" xfId="23611"/>
    <cellStyle name="Obliczenia 2 21 24" xfId="23612"/>
    <cellStyle name="Obliczenia 2 21 24 2" xfId="23613"/>
    <cellStyle name="Obliczenia 2 21 24 3" xfId="23614"/>
    <cellStyle name="Obliczenia 2 21 25" xfId="23615"/>
    <cellStyle name="Obliczenia 2 21 25 2" xfId="23616"/>
    <cellStyle name="Obliczenia 2 21 25 3" xfId="23617"/>
    <cellStyle name="Obliczenia 2 21 26" xfId="23618"/>
    <cellStyle name="Obliczenia 2 21 26 2" xfId="23619"/>
    <cellStyle name="Obliczenia 2 21 26 3" xfId="23620"/>
    <cellStyle name="Obliczenia 2 21 27" xfId="23621"/>
    <cellStyle name="Obliczenia 2 21 27 2" xfId="23622"/>
    <cellStyle name="Obliczenia 2 21 27 3" xfId="23623"/>
    <cellStyle name="Obliczenia 2 21 28" xfId="23624"/>
    <cellStyle name="Obliczenia 2 21 28 2" xfId="23625"/>
    <cellStyle name="Obliczenia 2 21 28 3" xfId="23626"/>
    <cellStyle name="Obliczenia 2 21 29" xfId="23627"/>
    <cellStyle name="Obliczenia 2 21 29 2" xfId="23628"/>
    <cellStyle name="Obliczenia 2 21 29 3" xfId="23629"/>
    <cellStyle name="Obliczenia 2 21 3" xfId="23630"/>
    <cellStyle name="Obliczenia 2 21 3 2" xfId="23631"/>
    <cellStyle name="Obliczenia 2 21 3 3" xfId="23632"/>
    <cellStyle name="Obliczenia 2 21 3 4" xfId="23633"/>
    <cellStyle name="Obliczenia 2 21 30" xfId="23634"/>
    <cellStyle name="Obliczenia 2 21 30 2" xfId="23635"/>
    <cellStyle name="Obliczenia 2 21 30 3" xfId="23636"/>
    <cellStyle name="Obliczenia 2 21 31" xfId="23637"/>
    <cellStyle name="Obliczenia 2 21 31 2" xfId="23638"/>
    <cellStyle name="Obliczenia 2 21 31 3" xfId="23639"/>
    <cellStyle name="Obliczenia 2 21 32" xfId="23640"/>
    <cellStyle name="Obliczenia 2 21 32 2" xfId="23641"/>
    <cellStyle name="Obliczenia 2 21 32 3" xfId="23642"/>
    <cellStyle name="Obliczenia 2 21 33" xfId="23643"/>
    <cellStyle name="Obliczenia 2 21 33 2" xfId="23644"/>
    <cellStyle name="Obliczenia 2 21 33 3" xfId="23645"/>
    <cellStyle name="Obliczenia 2 21 34" xfId="23646"/>
    <cellStyle name="Obliczenia 2 21 34 2" xfId="23647"/>
    <cellStyle name="Obliczenia 2 21 34 3" xfId="23648"/>
    <cellStyle name="Obliczenia 2 21 35" xfId="23649"/>
    <cellStyle name="Obliczenia 2 21 35 2" xfId="23650"/>
    <cellStyle name="Obliczenia 2 21 35 3" xfId="23651"/>
    <cellStyle name="Obliczenia 2 21 36" xfId="23652"/>
    <cellStyle name="Obliczenia 2 21 36 2" xfId="23653"/>
    <cellStyle name="Obliczenia 2 21 36 3" xfId="23654"/>
    <cellStyle name="Obliczenia 2 21 37" xfId="23655"/>
    <cellStyle name="Obliczenia 2 21 37 2" xfId="23656"/>
    <cellStyle name="Obliczenia 2 21 37 3" xfId="23657"/>
    <cellStyle name="Obliczenia 2 21 38" xfId="23658"/>
    <cellStyle name="Obliczenia 2 21 38 2" xfId="23659"/>
    <cellStyle name="Obliczenia 2 21 38 3" xfId="23660"/>
    <cellStyle name="Obliczenia 2 21 39" xfId="23661"/>
    <cellStyle name="Obliczenia 2 21 39 2" xfId="23662"/>
    <cellStyle name="Obliczenia 2 21 39 3" xfId="23663"/>
    <cellStyle name="Obliczenia 2 21 4" xfId="23664"/>
    <cellStyle name="Obliczenia 2 21 4 2" xfId="23665"/>
    <cellStyle name="Obliczenia 2 21 4 3" xfId="23666"/>
    <cellStyle name="Obliczenia 2 21 4 4" xfId="23667"/>
    <cellStyle name="Obliczenia 2 21 40" xfId="23668"/>
    <cellStyle name="Obliczenia 2 21 40 2" xfId="23669"/>
    <cellStyle name="Obliczenia 2 21 40 3" xfId="23670"/>
    <cellStyle name="Obliczenia 2 21 41" xfId="23671"/>
    <cellStyle name="Obliczenia 2 21 41 2" xfId="23672"/>
    <cellStyle name="Obliczenia 2 21 41 3" xfId="23673"/>
    <cellStyle name="Obliczenia 2 21 42" xfId="23674"/>
    <cellStyle name="Obliczenia 2 21 42 2" xfId="23675"/>
    <cellStyle name="Obliczenia 2 21 42 3" xfId="23676"/>
    <cellStyle name="Obliczenia 2 21 43" xfId="23677"/>
    <cellStyle name="Obliczenia 2 21 43 2" xfId="23678"/>
    <cellStyle name="Obliczenia 2 21 43 3" xfId="23679"/>
    <cellStyle name="Obliczenia 2 21 44" xfId="23680"/>
    <cellStyle name="Obliczenia 2 21 44 2" xfId="23681"/>
    <cellStyle name="Obliczenia 2 21 44 3" xfId="23682"/>
    <cellStyle name="Obliczenia 2 21 45" xfId="23683"/>
    <cellStyle name="Obliczenia 2 21 45 2" xfId="23684"/>
    <cellStyle name="Obliczenia 2 21 45 3" xfId="23685"/>
    <cellStyle name="Obliczenia 2 21 46" xfId="23686"/>
    <cellStyle name="Obliczenia 2 21 46 2" xfId="23687"/>
    <cellStyle name="Obliczenia 2 21 46 3" xfId="23688"/>
    <cellStyle name="Obliczenia 2 21 47" xfId="23689"/>
    <cellStyle name="Obliczenia 2 21 47 2" xfId="23690"/>
    <cellStyle name="Obliczenia 2 21 47 3" xfId="23691"/>
    <cellStyle name="Obliczenia 2 21 48" xfId="23692"/>
    <cellStyle name="Obliczenia 2 21 48 2" xfId="23693"/>
    <cellStyle name="Obliczenia 2 21 48 3" xfId="23694"/>
    <cellStyle name="Obliczenia 2 21 49" xfId="23695"/>
    <cellStyle name="Obliczenia 2 21 49 2" xfId="23696"/>
    <cellStyle name="Obliczenia 2 21 49 3" xfId="23697"/>
    <cellStyle name="Obliczenia 2 21 5" xfId="23698"/>
    <cellStyle name="Obliczenia 2 21 5 2" xfId="23699"/>
    <cellStyle name="Obliczenia 2 21 5 3" xfId="23700"/>
    <cellStyle name="Obliczenia 2 21 5 4" xfId="23701"/>
    <cellStyle name="Obliczenia 2 21 50" xfId="23702"/>
    <cellStyle name="Obliczenia 2 21 50 2" xfId="23703"/>
    <cellStyle name="Obliczenia 2 21 50 3" xfId="23704"/>
    <cellStyle name="Obliczenia 2 21 51" xfId="23705"/>
    <cellStyle name="Obliczenia 2 21 51 2" xfId="23706"/>
    <cellStyle name="Obliczenia 2 21 51 3" xfId="23707"/>
    <cellStyle name="Obliczenia 2 21 52" xfId="23708"/>
    <cellStyle name="Obliczenia 2 21 52 2" xfId="23709"/>
    <cellStyle name="Obliczenia 2 21 52 3" xfId="23710"/>
    <cellStyle name="Obliczenia 2 21 53" xfId="23711"/>
    <cellStyle name="Obliczenia 2 21 53 2" xfId="23712"/>
    <cellStyle name="Obliczenia 2 21 53 3" xfId="23713"/>
    <cellStyle name="Obliczenia 2 21 54" xfId="23714"/>
    <cellStyle name="Obliczenia 2 21 54 2" xfId="23715"/>
    <cellStyle name="Obliczenia 2 21 54 3" xfId="23716"/>
    <cellStyle name="Obliczenia 2 21 55" xfId="23717"/>
    <cellStyle name="Obliczenia 2 21 55 2" xfId="23718"/>
    <cellStyle name="Obliczenia 2 21 55 3" xfId="23719"/>
    <cellStyle name="Obliczenia 2 21 56" xfId="23720"/>
    <cellStyle name="Obliczenia 2 21 56 2" xfId="23721"/>
    <cellStyle name="Obliczenia 2 21 56 3" xfId="23722"/>
    <cellStyle name="Obliczenia 2 21 57" xfId="23723"/>
    <cellStyle name="Obliczenia 2 21 58" xfId="23724"/>
    <cellStyle name="Obliczenia 2 21 6" xfId="23725"/>
    <cellStyle name="Obliczenia 2 21 6 2" xfId="23726"/>
    <cellStyle name="Obliczenia 2 21 6 3" xfId="23727"/>
    <cellStyle name="Obliczenia 2 21 6 4" xfId="23728"/>
    <cellStyle name="Obliczenia 2 21 7" xfId="23729"/>
    <cellStyle name="Obliczenia 2 21 7 2" xfId="23730"/>
    <cellStyle name="Obliczenia 2 21 7 3" xfId="23731"/>
    <cellStyle name="Obliczenia 2 21 7 4" xfId="23732"/>
    <cellStyle name="Obliczenia 2 21 8" xfId="23733"/>
    <cellStyle name="Obliczenia 2 21 8 2" xfId="23734"/>
    <cellStyle name="Obliczenia 2 21 8 3" xfId="23735"/>
    <cellStyle name="Obliczenia 2 21 8 4" xfId="23736"/>
    <cellStyle name="Obliczenia 2 21 9" xfId="23737"/>
    <cellStyle name="Obliczenia 2 21 9 2" xfId="23738"/>
    <cellStyle name="Obliczenia 2 21 9 3" xfId="23739"/>
    <cellStyle name="Obliczenia 2 21 9 4" xfId="23740"/>
    <cellStyle name="Obliczenia 2 22" xfId="23741"/>
    <cellStyle name="Obliczenia 2 22 10" xfId="23742"/>
    <cellStyle name="Obliczenia 2 22 10 2" xfId="23743"/>
    <cellStyle name="Obliczenia 2 22 10 3" xfId="23744"/>
    <cellStyle name="Obliczenia 2 22 10 4" xfId="23745"/>
    <cellStyle name="Obliczenia 2 22 11" xfId="23746"/>
    <cellStyle name="Obliczenia 2 22 11 2" xfId="23747"/>
    <cellStyle name="Obliczenia 2 22 11 3" xfId="23748"/>
    <cellStyle name="Obliczenia 2 22 11 4" xfId="23749"/>
    <cellStyle name="Obliczenia 2 22 12" xfId="23750"/>
    <cellStyle name="Obliczenia 2 22 12 2" xfId="23751"/>
    <cellStyle name="Obliczenia 2 22 12 3" xfId="23752"/>
    <cellStyle name="Obliczenia 2 22 12 4" xfId="23753"/>
    <cellStyle name="Obliczenia 2 22 13" xfId="23754"/>
    <cellStyle name="Obliczenia 2 22 13 2" xfId="23755"/>
    <cellStyle name="Obliczenia 2 22 13 3" xfId="23756"/>
    <cellStyle name="Obliczenia 2 22 13 4" xfId="23757"/>
    <cellStyle name="Obliczenia 2 22 14" xfId="23758"/>
    <cellStyle name="Obliczenia 2 22 14 2" xfId="23759"/>
    <cellStyle name="Obliczenia 2 22 14 3" xfId="23760"/>
    <cellStyle name="Obliczenia 2 22 14 4" xfId="23761"/>
    <cellStyle name="Obliczenia 2 22 15" xfId="23762"/>
    <cellStyle name="Obliczenia 2 22 15 2" xfId="23763"/>
    <cellStyle name="Obliczenia 2 22 15 3" xfId="23764"/>
    <cellStyle name="Obliczenia 2 22 15 4" xfId="23765"/>
    <cellStyle name="Obliczenia 2 22 16" xfId="23766"/>
    <cellStyle name="Obliczenia 2 22 16 2" xfId="23767"/>
    <cellStyle name="Obliczenia 2 22 16 3" xfId="23768"/>
    <cellStyle name="Obliczenia 2 22 16 4" xfId="23769"/>
    <cellStyle name="Obliczenia 2 22 17" xfId="23770"/>
    <cellStyle name="Obliczenia 2 22 17 2" xfId="23771"/>
    <cellStyle name="Obliczenia 2 22 17 3" xfId="23772"/>
    <cellStyle name="Obliczenia 2 22 17 4" xfId="23773"/>
    <cellStyle name="Obliczenia 2 22 18" xfId="23774"/>
    <cellStyle name="Obliczenia 2 22 18 2" xfId="23775"/>
    <cellStyle name="Obliczenia 2 22 18 3" xfId="23776"/>
    <cellStyle name="Obliczenia 2 22 18 4" xfId="23777"/>
    <cellStyle name="Obliczenia 2 22 19" xfId="23778"/>
    <cellStyle name="Obliczenia 2 22 19 2" xfId="23779"/>
    <cellStyle name="Obliczenia 2 22 19 3" xfId="23780"/>
    <cellStyle name="Obliczenia 2 22 19 4" xfId="23781"/>
    <cellStyle name="Obliczenia 2 22 2" xfId="23782"/>
    <cellStyle name="Obliczenia 2 22 2 2" xfId="23783"/>
    <cellStyle name="Obliczenia 2 22 2 3" xfId="23784"/>
    <cellStyle name="Obliczenia 2 22 2 4" xfId="23785"/>
    <cellStyle name="Obliczenia 2 22 20" xfId="23786"/>
    <cellStyle name="Obliczenia 2 22 20 2" xfId="23787"/>
    <cellStyle name="Obliczenia 2 22 20 3" xfId="23788"/>
    <cellStyle name="Obliczenia 2 22 20 4" xfId="23789"/>
    <cellStyle name="Obliczenia 2 22 21" xfId="23790"/>
    <cellStyle name="Obliczenia 2 22 21 2" xfId="23791"/>
    <cellStyle name="Obliczenia 2 22 21 3" xfId="23792"/>
    <cellStyle name="Obliczenia 2 22 22" xfId="23793"/>
    <cellStyle name="Obliczenia 2 22 22 2" xfId="23794"/>
    <cellStyle name="Obliczenia 2 22 22 3" xfId="23795"/>
    <cellStyle name="Obliczenia 2 22 23" xfId="23796"/>
    <cellStyle name="Obliczenia 2 22 23 2" xfId="23797"/>
    <cellStyle name="Obliczenia 2 22 23 3" xfId="23798"/>
    <cellStyle name="Obliczenia 2 22 24" xfId="23799"/>
    <cellStyle name="Obliczenia 2 22 24 2" xfId="23800"/>
    <cellStyle name="Obliczenia 2 22 24 3" xfId="23801"/>
    <cellStyle name="Obliczenia 2 22 25" xfId="23802"/>
    <cellStyle name="Obliczenia 2 22 25 2" xfId="23803"/>
    <cellStyle name="Obliczenia 2 22 25 3" xfId="23804"/>
    <cellStyle name="Obliczenia 2 22 26" xfId="23805"/>
    <cellStyle name="Obliczenia 2 22 26 2" xfId="23806"/>
    <cellStyle name="Obliczenia 2 22 26 3" xfId="23807"/>
    <cellStyle name="Obliczenia 2 22 27" xfId="23808"/>
    <cellStyle name="Obliczenia 2 22 27 2" xfId="23809"/>
    <cellStyle name="Obliczenia 2 22 27 3" xfId="23810"/>
    <cellStyle name="Obliczenia 2 22 28" xfId="23811"/>
    <cellStyle name="Obliczenia 2 22 28 2" xfId="23812"/>
    <cellStyle name="Obliczenia 2 22 28 3" xfId="23813"/>
    <cellStyle name="Obliczenia 2 22 29" xfId="23814"/>
    <cellStyle name="Obliczenia 2 22 29 2" xfId="23815"/>
    <cellStyle name="Obliczenia 2 22 29 3" xfId="23816"/>
    <cellStyle name="Obliczenia 2 22 3" xfId="23817"/>
    <cellStyle name="Obliczenia 2 22 3 2" xfId="23818"/>
    <cellStyle name="Obliczenia 2 22 3 3" xfId="23819"/>
    <cellStyle name="Obliczenia 2 22 3 4" xfId="23820"/>
    <cellStyle name="Obliczenia 2 22 30" xfId="23821"/>
    <cellStyle name="Obliczenia 2 22 30 2" xfId="23822"/>
    <cellStyle name="Obliczenia 2 22 30 3" xfId="23823"/>
    <cellStyle name="Obliczenia 2 22 31" xfId="23824"/>
    <cellStyle name="Obliczenia 2 22 31 2" xfId="23825"/>
    <cellStyle name="Obliczenia 2 22 31 3" xfId="23826"/>
    <cellStyle name="Obliczenia 2 22 32" xfId="23827"/>
    <cellStyle name="Obliczenia 2 22 32 2" xfId="23828"/>
    <cellStyle name="Obliczenia 2 22 32 3" xfId="23829"/>
    <cellStyle name="Obliczenia 2 22 33" xfId="23830"/>
    <cellStyle name="Obliczenia 2 22 33 2" xfId="23831"/>
    <cellStyle name="Obliczenia 2 22 33 3" xfId="23832"/>
    <cellStyle name="Obliczenia 2 22 34" xfId="23833"/>
    <cellStyle name="Obliczenia 2 22 34 2" xfId="23834"/>
    <cellStyle name="Obliczenia 2 22 34 3" xfId="23835"/>
    <cellStyle name="Obliczenia 2 22 35" xfId="23836"/>
    <cellStyle name="Obliczenia 2 22 35 2" xfId="23837"/>
    <cellStyle name="Obliczenia 2 22 35 3" xfId="23838"/>
    <cellStyle name="Obliczenia 2 22 36" xfId="23839"/>
    <cellStyle name="Obliczenia 2 22 36 2" xfId="23840"/>
    <cellStyle name="Obliczenia 2 22 36 3" xfId="23841"/>
    <cellStyle name="Obliczenia 2 22 37" xfId="23842"/>
    <cellStyle name="Obliczenia 2 22 37 2" xfId="23843"/>
    <cellStyle name="Obliczenia 2 22 37 3" xfId="23844"/>
    <cellStyle name="Obliczenia 2 22 38" xfId="23845"/>
    <cellStyle name="Obliczenia 2 22 38 2" xfId="23846"/>
    <cellStyle name="Obliczenia 2 22 38 3" xfId="23847"/>
    <cellStyle name="Obliczenia 2 22 39" xfId="23848"/>
    <cellStyle name="Obliczenia 2 22 39 2" xfId="23849"/>
    <cellStyle name="Obliczenia 2 22 39 3" xfId="23850"/>
    <cellStyle name="Obliczenia 2 22 4" xfId="23851"/>
    <cellStyle name="Obliczenia 2 22 4 2" xfId="23852"/>
    <cellStyle name="Obliczenia 2 22 4 3" xfId="23853"/>
    <cellStyle name="Obliczenia 2 22 4 4" xfId="23854"/>
    <cellStyle name="Obliczenia 2 22 40" xfId="23855"/>
    <cellStyle name="Obliczenia 2 22 40 2" xfId="23856"/>
    <cellStyle name="Obliczenia 2 22 40 3" xfId="23857"/>
    <cellStyle name="Obliczenia 2 22 41" xfId="23858"/>
    <cellStyle name="Obliczenia 2 22 41 2" xfId="23859"/>
    <cellStyle name="Obliczenia 2 22 41 3" xfId="23860"/>
    <cellStyle name="Obliczenia 2 22 42" xfId="23861"/>
    <cellStyle name="Obliczenia 2 22 42 2" xfId="23862"/>
    <cellStyle name="Obliczenia 2 22 42 3" xfId="23863"/>
    <cellStyle name="Obliczenia 2 22 43" xfId="23864"/>
    <cellStyle name="Obliczenia 2 22 43 2" xfId="23865"/>
    <cellStyle name="Obliczenia 2 22 43 3" xfId="23866"/>
    <cellStyle name="Obliczenia 2 22 44" xfId="23867"/>
    <cellStyle name="Obliczenia 2 22 44 2" xfId="23868"/>
    <cellStyle name="Obliczenia 2 22 44 3" xfId="23869"/>
    <cellStyle name="Obliczenia 2 22 45" xfId="23870"/>
    <cellStyle name="Obliczenia 2 22 45 2" xfId="23871"/>
    <cellStyle name="Obliczenia 2 22 45 3" xfId="23872"/>
    <cellStyle name="Obliczenia 2 22 46" xfId="23873"/>
    <cellStyle name="Obliczenia 2 22 46 2" xfId="23874"/>
    <cellStyle name="Obliczenia 2 22 46 3" xfId="23875"/>
    <cellStyle name="Obliczenia 2 22 47" xfId="23876"/>
    <cellStyle name="Obliczenia 2 22 47 2" xfId="23877"/>
    <cellStyle name="Obliczenia 2 22 47 3" xfId="23878"/>
    <cellStyle name="Obliczenia 2 22 48" xfId="23879"/>
    <cellStyle name="Obliczenia 2 22 48 2" xfId="23880"/>
    <cellStyle name="Obliczenia 2 22 48 3" xfId="23881"/>
    <cellStyle name="Obliczenia 2 22 49" xfId="23882"/>
    <cellStyle name="Obliczenia 2 22 49 2" xfId="23883"/>
    <cellStyle name="Obliczenia 2 22 49 3" xfId="23884"/>
    <cellStyle name="Obliczenia 2 22 5" xfId="23885"/>
    <cellStyle name="Obliczenia 2 22 5 2" xfId="23886"/>
    <cellStyle name="Obliczenia 2 22 5 3" xfId="23887"/>
    <cellStyle name="Obliczenia 2 22 5 4" xfId="23888"/>
    <cellStyle name="Obliczenia 2 22 50" xfId="23889"/>
    <cellStyle name="Obliczenia 2 22 50 2" xfId="23890"/>
    <cellStyle name="Obliczenia 2 22 50 3" xfId="23891"/>
    <cellStyle name="Obliczenia 2 22 51" xfId="23892"/>
    <cellStyle name="Obliczenia 2 22 51 2" xfId="23893"/>
    <cellStyle name="Obliczenia 2 22 51 3" xfId="23894"/>
    <cellStyle name="Obliczenia 2 22 52" xfId="23895"/>
    <cellStyle name="Obliczenia 2 22 52 2" xfId="23896"/>
    <cellStyle name="Obliczenia 2 22 52 3" xfId="23897"/>
    <cellStyle name="Obliczenia 2 22 53" xfId="23898"/>
    <cellStyle name="Obliczenia 2 22 53 2" xfId="23899"/>
    <cellStyle name="Obliczenia 2 22 53 3" xfId="23900"/>
    <cellStyle name="Obliczenia 2 22 54" xfId="23901"/>
    <cellStyle name="Obliczenia 2 22 54 2" xfId="23902"/>
    <cellStyle name="Obliczenia 2 22 54 3" xfId="23903"/>
    <cellStyle name="Obliczenia 2 22 55" xfId="23904"/>
    <cellStyle name="Obliczenia 2 22 55 2" xfId="23905"/>
    <cellStyle name="Obliczenia 2 22 55 3" xfId="23906"/>
    <cellStyle name="Obliczenia 2 22 56" xfId="23907"/>
    <cellStyle name="Obliczenia 2 22 56 2" xfId="23908"/>
    <cellStyle name="Obliczenia 2 22 56 3" xfId="23909"/>
    <cellStyle name="Obliczenia 2 22 57" xfId="23910"/>
    <cellStyle name="Obliczenia 2 22 58" xfId="23911"/>
    <cellStyle name="Obliczenia 2 22 6" xfId="23912"/>
    <cellStyle name="Obliczenia 2 22 6 2" xfId="23913"/>
    <cellStyle name="Obliczenia 2 22 6 3" xfId="23914"/>
    <cellStyle name="Obliczenia 2 22 6 4" xfId="23915"/>
    <cellStyle name="Obliczenia 2 22 7" xfId="23916"/>
    <cellStyle name="Obliczenia 2 22 7 2" xfId="23917"/>
    <cellStyle name="Obliczenia 2 22 7 3" xfId="23918"/>
    <cellStyle name="Obliczenia 2 22 7 4" xfId="23919"/>
    <cellStyle name="Obliczenia 2 22 8" xfId="23920"/>
    <cellStyle name="Obliczenia 2 22 8 2" xfId="23921"/>
    <cellStyle name="Obliczenia 2 22 8 3" xfId="23922"/>
    <cellStyle name="Obliczenia 2 22 8 4" xfId="23923"/>
    <cellStyle name="Obliczenia 2 22 9" xfId="23924"/>
    <cellStyle name="Obliczenia 2 22 9 2" xfId="23925"/>
    <cellStyle name="Obliczenia 2 22 9 3" xfId="23926"/>
    <cellStyle name="Obliczenia 2 22 9 4" xfId="23927"/>
    <cellStyle name="Obliczenia 2 23" xfId="23928"/>
    <cellStyle name="Obliczenia 2 23 10" xfId="23929"/>
    <cellStyle name="Obliczenia 2 23 10 2" xfId="23930"/>
    <cellStyle name="Obliczenia 2 23 10 3" xfId="23931"/>
    <cellStyle name="Obliczenia 2 23 10 4" xfId="23932"/>
    <cellStyle name="Obliczenia 2 23 11" xfId="23933"/>
    <cellStyle name="Obliczenia 2 23 11 2" xfId="23934"/>
    <cellStyle name="Obliczenia 2 23 11 3" xfId="23935"/>
    <cellStyle name="Obliczenia 2 23 11 4" xfId="23936"/>
    <cellStyle name="Obliczenia 2 23 12" xfId="23937"/>
    <cellStyle name="Obliczenia 2 23 12 2" xfId="23938"/>
    <cellStyle name="Obliczenia 2 23 12 3" xfId="23939"/>
    <cellStyle name="Obliczenia 2 23 12 4" xfId="23940"/>
    <cellStyle name="Obliczenia 2 23 13" xfId="23941"/>
    <cellStyle name="Obliczenia 2 23 13 2" xfId="23942"/>
    <cellStyle name="Obliczenia 2 23 13 3" xfId="23943"/>
    <cellStyle name="Obliczenia 2 23 13 4" xfId="23944"/>
    <cellStyle name="Obliczenia 2 23 14" xfId="23945"/>
    <cellStyle name="Obliczenia 2 23 14 2" xfId="23946"/>
    <cellStyle name="Obliczenia 2 23 14 3" xfId="23947"/>
    <cellStyle name="Obliczenia 2 23 14 4" xfId="23948"/>
    <cellStyle name="Obliczenia 2 23 15" xfId="23949"/>
    <cellStyle name="Obliczenia 2 23 15 2" xfId="23950"/>
    <cellStyle name="Obliczenia 2 23 15 3" xfId="23951"/>
    <cellStyle name="Obliczenia 2 23 15 4" xfId="23952"/>
    <cellStyle name="Obliczenia 2 23 16" xfId="23953"/>
    <cellStyle name="Obliczenia 2 23 16 2" xfId="23954"/>
    <cellStyle name="Obliczenia 2 23 16 3" xfId="23955"/>
    <cellStyle name="Obliczenia 2 23 16 4" xfId="23956"/>
    <cellStyle name="Obliczenia 2 23 17" xfId="23957"/>
    <cellStyle name="Obliczenia 2 23 17 2" xfId="23958"/>
    <cellStyle name="Obliczenia 2 23 17 3" xfId="23959"/>
    <cellStyle name="Obliczenia 2 23 17 4" xfId="23960"/>
    <cellStyle name="Obliczenia 2 23 18" xfId="23961"/>
    <cellStyle name="Obliczenia 2 23 18 2" xfId="23962"/>
    <cellStyle name="Obliczenia 2 23 18 3" xfId="23963"/>
    <cellStyle name="Obliczenia 2 23 18 4" xfId="23964"/>
    <cellStyle name="Obliczenia 2 23 19" xfId="23965"/>
    <cellStyle name="Obliczenia 2 23 19 2" xfId="23966"/>
    <cellStyle name="Obliczenia 2 23 19 3" xfId="23967"/>
    <cellStyle name="Obliczenia 2 23 19 4" xfId="23968"/>
    <cellStyle name="Obliczenia 2 23 2" xfId="23969"/>
    <cellStyle name="Obliczenia 2 23 2 2" xfId="23970"/>
    <cellStyle name="Obliczenia 2 23 2 3" xfId="23971"/>
    <cellStyle name="Obliczenia 2 23 2 4" xfId="23972"/>
    <cellStyle name="Obliczenia 2 23 20" xfId="23973"/>
    <cellStyle name="Obliczenia 2 23 20 2" xfId="23974"/>
    <cellStyle name="Obliczenia 2 23 20 3" xfId="23975"/>
    <cellStyle name="Obliczenia 2 23 20 4" xfId="23976"/>
    <cellStyle name="Obliczenia 2 23 21" xfId="23977"/>
    <cellStyle name="Obliczenia 2 23 21 2" xfId="23978"/>
    <cellStyle name="Obliczenia 2 23 21 3" xfId="23979"/>
    <cellStyle name="Obliczenia 2 23 22" xfId="23980"/>
    <cellStyle name="Obliczenia 2 23 22 2" xfId="23981"/>
    <cellStyle name="Obliczenia 2 23 22 3" xfId="23982"/>
    <cellStyle name="Obliczenia 2 23 23" xfId="23983"/>
    <cellStyle name="Obliczenia 2 23 23 2" xfId="23984"/>
    <cellStyle name="Obliczenia 2 23 23 3" xfId="23985"/>
    <cellStyle name="Obliczenia 2 23 24" xfId="23986"/>
    <cellStyle name="Obliczenia 2 23 24 2" xfId="23987"/>
    <cellStyle name="Obliczenia 2 23 24 3" xfId="23988"/>
    <cellStyle name="Obliczenia 2 23 25" xfId="23989"/>
    <cellStyle name="Obliczenia 2 23 25 2" xfId="23990"/>
    <cellStyle name="Obliczenia 2 23 25 3" xfId="23991"/>
    <cellStyle name="Obliczenia 2 23 26" xfId="23992"/>
    <cellStyle name="Obliczenia 2 23 26 2" xfId="23993"/>
    <cellStyle name="Obliczenia 2 23 26 3" xfId="23994"/>
    <cellStyle name="Obliczenia 2 23 27" xfId="23995"/>
    <cellStyle name="Obliczenia 2 23 27 2" xfId="23996"/>
    <cellStyle name="Obliczenia 2 23 27 3" xfId="23997"/>
    <cellStyle name="Obliczenia 2 23 28" xfId="23998"/>
    <cellStyle name="Obliczenia 2 23 28 2" xfId="23999"/>
    <cellStyle name="Obliczenia 2 23 28 3" xfId="24000"/>
    <cellStyle name="Obliczenia 2 23 29" xfId="24001"/>
    <cellStyle name="Obliczenia 2 23 29 2" xfId="24002"/>
    <cellStyle name="Obliczenia 2 23 29 3" xfId="24003"/>
    <cellStyle name="Obliczenia 2 23 3" xfId="24004"/>
    <cellStyle name="Obliczenia 2 23 3 2" xfId="24005"/>
    <cellStyle name="Obliczenia 2 23 3 3" xfId="24006"/>
    <cellStyle name="Obliczenia 2 23 3 4" xfId="24007"/>
    <cellStyle name="Obliczenia 2 23 30" xfId="24008"/>
    <cellStyle name="Obliczenia 2 23 30 2" xfId="24009"/>
    <cellStyle name="Obliczenia 2 23 30 3" xfId="24010"/>
    <cellStyle name="Obliczenia 2 23 31" xfId="24011"/>
    <cellStyle name="Obliczenia 2 23 31 2" xfId="24012"/>
    <cellStyle name="Obliczenia 2 23 31 3" xfId="24013"/>
    <cellStyle name="Obliczenia 2 23 32" xfId="24014"/>
    <cellStyle name="Obliczenia 2 23 32 2" xfId="24015"/>
    <cellStyle name="Obliczenia 2 23 32 3" xfId="24016"/>
    <cellStyle name="Obliczenia 2 23 33" xfId="24017"/>
    <cellStyle name="Obliczenia 2 23 33 2" xfId="24018"/>
    <cellStyle name="Obliczenia 2 23 33 3" xfId="24019"/>
    <cellStyle name="Obliczenia 2 23 34" xfId="24020"/>
    <cellStyle name="Obliczenia 2 23 34 2" xfId="24021"/>
    <cellStyle name="Obliczenia 2 23 34 3" xfId="24022"/>
    <cellStyle name="Obliczenia 2 23 35" xfId="24023"/>
    <cellStyle name="Obliczenia 2 23 35 2" xfId="24024"/>
    <cellStyle name="Obliczenia 2 23 35 3" xfId="24025"/>
    <cellStyle name="Obliczenia 2 23 36" xfId="24026"/>
    <cellStyle name="Obliczenia 2 23 36 2" xfId="24027"/>
    <cellStyle name="Obliczenia 2 23 36 3" xfId="24028"/>
    <cellStyle name="Obliczenia 2 23 37" xfId="24029"/>
    <cellStyle name="Obliczenia 2 23 37 2" xfId="24030"/>
    <cellStyle name="Obliczenia 2 23 37 3" xfId="24031"/>
    <cellStyle name="Obliczenia 2 23 38" xfId="24032"/>
    <cellStyle name="Obliczenia 2 23 38 2" xfId="24033"/>
    <cellStyle name="Obliczenia 2 23 38 3" xfId="24034"/>
    <cellStyle name="Obliczenia 2 23 39" xfId="24035"/>
    <cellStyle name="Obliczenia 2 23 39 2" xfId="24036"/>
    <cellStyle name="Obliczenia 2 23 39 3" xfId="24037"/>
    <cellStyle name="Obliczenia 2 23 4" xfId="24038"/>
    <cellStyle name="Obliczenia 2 23 4 2" xfId="24039"/>
    <cellStyle name="Obliczenia 2 23 4 3" xfId="24040"/>
    <cellStyle name="Obliczenia 2 23 4 4" xfId="24041"/>
    <cellStyle name="Obliczenia 2 23 40" xfId="24042"/>
    <cellStyle name="Obliczenia 2 23 40 2" xfId="24043"/>
    <cellStyle name="Obliczenia 2 23 40 3" xfId="24044"/>
    <cellStyle name="Obliczenia 2 23 41" xfId="24045"/>
    <cellStyle name="Obliczenia 2 23 41 2" xfId="24046"/>
    <cellStyle name="Obliczenia 2 23 41 3" xfId="24047"/>
    <cellStyle name="Obliczenia 2 23 42" xfId="24048"/>
    <cellStyle name="Obliczenia 2 23 42 2" xfId="24049"/>
    <cellStyle name="Obliczenia 2 23 42 3" xfId="24050"/>
    <cellStyle name="Obliczenia 2 23 43" xfId="24051"/>
    <cellStyle name="Obliczenia 2 23 43 2" xfId="24052"/>
    <cellStyle name="Obliczenia 2 23 43 3" xfId="24053"/>
    <cellStyle name="Obliczenia 2 23 44" xfId="24054"/>
    <cellStyle name="Obliczenia 2 23 44 2" xfId="24055"/>
    <cellStyle name="Obliczenia 2 23 44 3" xfId="24056"/>
    <cellStyle name="Obliczenia 2 23 45" xfId="24057"/>
    <cellStyle name="Obliczenia 2 23 45 2" xfId="24058"/>
    <cellStyle name="Obliczenia 2 23 45 3" xfId="24059"/>
    <cellStyle name="Obliczenia 2 23 46" xfId="24060"/>
    <cellStyle name="Obliczenia 2 23 46 2" xfId="24061"/>
    <cellStyle name="Obliczenia 2 23 46 3" xfId="24062"/>
    <cellStyle name="Obliczenia 2 23 47" xfId="24063"/>
    <cellStyle name="Obliczenia 2 23 47 2" xfId="24064"/>
    <cellStyle name="Obliczenia 2 23 47 3" xfId="24065"/>
    <cellStyle name="Obliczenia 2 23 48" xfId="24066"/>
    <cellStyle name="Obliczenia 2 23 48 2" xfId="24067"/>
    <cellStyle name="Obliczenia 2 23 48 3" xfId="24068"/>
    <cellStyle name="Obliczenia 2 23 49" xfId="24069"/>
    <cellStyle name="Obliczenia 2 23 49 2" xfId="24070"/>
    <cellStyle name="Obliczenia 2 23 49 3" xfId="24071"/>
    <cellStyle name="Obliczenia 2 23 5" xfId="24072"/>
    <cellStyle name="Obliczenia 2 23 5 2" xfId="24073"/>
    <cellStyle name="Obliczenia 2 23 5 3" xfId="24074"/>
    <cellStyle name="Obliczenia 2 23 5 4" xfId="24075"/>
    <cellStyle name="Obliczenia 2 23 50" xfId="24076"/>
    <cellStyle name="Obliczenia 2 23 50 2" xfId="24077"/>
    <cellStyle name="Obliczenia 2 23 50 3" xfId="24078"/>
    <cellStyle name="Obliczenia 2 23 51" xfId="24079"/>
    <cellStyle name="Obliczenia 2 23 51 2" xfId="24080"/>
    <cellStyle name="Obliczenia 2 23 51 3" xfId="24081"/>
    <cellStyle name="Obliczenia 2 23 52" xfId="24082"/>
    <cellStyle name="Obliczenia 2 23 52 2" xfId="24083"/>
    <cellStyle name="Obliczenia 2 23 52 3" xfId="24084"/>
    <cellStyle name="Obliczenia 2 23 53" xfId="24085"/>
    <cellStyle name="Obliczenia 2 23 53 2" xfId="24086"/>
    <cellStyle name="Obliczenia 2 23 53 3" xfId="24087"/>
    <cellStyle name="Obliczenia 2 23 54" xfId="24088"/>
    <cellStyle name="Obliczenia 2 23 54 2" xfId="24089"/>
    <cellStyle name="Obliczenia 2 23 54 3" xfId="24090"/>
    <cellStyle name="Obliczenia 2 23 55" xfId="24091"/>
    <cellStyle name="Obliczenia 2 23 55 2" xfId="24092"/>
    <cellStyle name="Obliczenia 2 23 55 3" xfId="24093"/>
    <cellStyle name="Obliczenia 2 23 56" xfId="24094"/>
    <cellStyle name="Obliczenia 2 23 56 2" xfId="24095"/>
    <cellStyle name="Obliczenia 2 23 56 3" xfId="24096"/>
    <cellStyle name="Obliczenia 2 23 57" xfId="24097"/>
    <cellStyle name="Obliczenia 2 23 58" xfId="24098"/>
    <cellStyle name="Obliczenia 2 23 6" xfId="24099"/>
    <cellStyle name="Obliczenia 2 23 6 2" xfId="24100"/>
    <cellStyle name="Obliczenia 2 23 6 3" xfId="24101"/>
    <cellStyle name="Obliczenia 2 23 6 4" xfId="24102"/>
    <cellStyle name="Obliczenia 2 23 7" xfId="24103"/>
    <cellStyle name="Obliczenia 2 23 7 2" xfId="24104"/>
    <cellStyle name="Obliczenia 2 23 7 3" xfId="24105"/>
    <cellStyle name="Obliczenia 2 23 7 4" xfId="24106"/>
    <cellStyle name="Obliczenia 2 23 8" xfId="24107"/>
    <cellStyle name="Obliczenia 2 23 8 2" xfId="24108"/>
    <cellStyle name="Obliczenia 2 23 8 3" xfId="24109"/>
    <cellStyle name="Obliczenia 2 23 8 4" xfId="24110"/>
    <cellStyle name="Obliczenia 2 23 9" xfId="24111"/>
    <cellStyle name="Obliczenia 2 23 9 2" xfId="24112"/>
    <cellStyle name="Obliczenia 2 23 9 3" xfId="24113"/>
    <cellStyle name="Obliczenia 2 23 9 4" xfId="24114"/>
    <cellStyle name="Obliczenia 2 24" xfId="24115"/>
    <cellStyle name="Obliczenia 2 24 10" xfId="24116"/>
    <cellStyle name="Obliczenia 2 24 10 2" xfId="24117"/>
    <cellStyle name="Obliczenia 2 24 10 3" xfId="24118"/>
    <cellStyle name="Obliczenia 2 24 10 4" xfId="24119"/>
    <cellStyle name="Obliczenia 2 24 11" xfId="24120"/>
    <cellStyle name="Obliczenia 2 24 11 2" xfId="24121"/>
    <cellStyle name="Obliczenia 2 24 11 3" xfId="24122"/>
    <cellStyle name="Obliczenia 2 24 11 4" xfId="24123"/>
    <cellStyle name="Obliczenia 2 24 12" xfId="24124"/>
    <cellStyle name="Obliczenia 2 24 12 2" xfId="24125"/>
    <cellStyle name="Obliczenia 2 24 12 3" xfId="24126"/>
    <cellStyle name="Obliczenia 2 24 12 4" xfId="24127"/>
    <cellStyle name="Obliczenia 2 24 13" xfId="24128"/>
    <cellStyle name="Obliczenia 2 24 13 2" xfId="24129"/>
    <cellStyle name="Obliczenia 2 24 13 3" xfId="24130"/>
    <cellStyle name="Obliczenia 2 24 13 4" xfId="24131"/>
    <cellStyle name="Obliczenia 2 24 14" xfId="24132"/>
    <cellStyle name="Obliczenia 2 24 14 2" xfId="24133"/>
    <cellStyle name="Obliczenia 2 24 14 3" xfId="24134"/>
    <cellStyle name="Obliczenia 2 24 14 4" xfId="24135"/>
    <cellStyle name="Obliczenia 2 24 15" xfId="24136"/>
    <cellStyle name="Obliczenia 2 24 15 2" xfId="24137"/>
    <cellStyle name="Obliczenia 2 24 15 3" xfId="24138"/>
    <cellStyle name="Obliczenia 2 24 15 4" xfId="24139"/>
    <cellStyle name="Obliczenia 2 24 16" xfId="24140"/>
    <cellStyle name="Obliczenia 2 24 16 2" xfId="24141"/>
    <cellStyle name="Obliczenia 2 24 16 3" xfId="24142"/>
    <cellStyle name="Obliczenia 2 24 16 4" xfId="24143"/>
    <cellStyle name="Obliczenia 2 24 17" xfId="24144"/>
    <cellStyle name="Obliczenia 2 24 17 2" xfId="24145"/>
    <cellStyle name="Obliczenia 2 24 17 3" xfId="24146"/>
    <cellStyle name="Obliczenia 2 24 17 4" xfId="24147"/>
    <cellStyle name="Obliczenia 2 24 18" xfId="24148"/>
    <cellStyle name="Obliczenia 2 24 18 2" xfId="24149"/>
    <cellStyle name="Obliczenia 2 24 18 3" xfId="24150"/>
    <cellStyle name="Obliczenia 2 24 18 4" xfId="24151"/>
    <cellStyle name="Obliczenia 2 24 19" xfId="24152"/>
    <cellStyle name="Obliczenia 2 24 19 2" xfId="24153"/>
    <cellStyle name="Obliczenia 2 24 19 3" xfId="24154"/>
    <cellStyle name="Obliczenia 2 24 19 4" xfId="24155"/>
    <cellStyle name="Obliczenia 2 24 2" xfId="24156"/>
    <cellStyle name="Obliczenia 2 24 2 2" xfId="24157"/>
    <cellStyle name="Obliczenia 2 24 2 3" xfId="24158"/>
    <cellStyle name="Obliczenia 2 24 2 4" xfId="24159"/>
    <cellStyle name="Obliczenia 2 24 20" xfId="24160"/>
    <cellStyle name="Obliczenia 2 24 20 2" xfId="24161"/>
    <cellStyle name="Obliczenia 2 24 20 3" xfId="24162"/>
    <cellStyle name="Obliczenia 2 24 20 4" xfId="24163"/>
    <cellStyle name="Obliczenia 2 24 21" xfId="24164"/>
    <cellStyle name="Obliczenia 2 24 21 2" xfId="24165"/>
    <cellStyle name="Obliczenia 2 24 21 3" xfId="24166"/>
    <cellStyle name="Obliczenia 2 24 22" xfId="24167"/>
    <cellStyle name="Obliczenia 2 24 22 2" xfId="24168"/>
    <cellStyle name="Obliczenia 2 24 22 3" xfId="24169"/>
    <cellStyle name="Obliczenia 2 24 23" xfId="24170"/>
    <cellStyle name="Obliczenia 2 24 23 2" xfId="24171"/>
    <cellStyle name="Obliczenia 2 24 23 3" xfId="24172"/>
    <cellStyle name="Obliczenia 2 24 24" xfId="24173"/>
    <cellStyle name="Obliczenia 2 24 24 2" xfId="24174"/>
    <cellStyle name="Obliczenia 2 24 24 3" xfId="24175"/>
    <cellStyle name="Obliczenia 2 24 25" xfId="24176"/>
    <cellStyle name="Obliczenia 2 24 25 2" xfId="24177"/>
    <cellStyle name="Obliczenia 2 24 25 3" xfId="24178"/>
    <cellStyle name="Obliczenia 2 24 26" xfId="24179"/>
    <cellStyle name="Obliczenia 2 24 26 2" xfId="24180"/>
    <cellStyle name="Obliczenia 2 24 26 3" xfId="24181"/>
    <cellStyle name="Obliczenia 2 24 27" xfId="24182"/>
    <cellStyle name="Obliczenia 2 24 27 2" xfId="24183"/>
    <cellStyle name="Obliczenia 2 24 27 3" xfId="24184"/>
    <cellStyle name="Obliczenia 2 24 28" xfId="24185"/>
    <cellStyle name="Obliczenia 2 24 28 2" xfId="24186"/>
    <cellStyle name="Obliczenia 2 24 28 3" xfId="24187"/>
    <cellStyle name="Obliczenia 2 24 29" xfId="24188"/>
    <cellStyle name="Obliczenia 2 24 29 2" xfId="24189"/>
    <cellStyle name="Obliczenia 2 24 29 3" xfId="24190"/>
    <cellStyle name="Obliczenia 2 24 3" xfId="24191"/>
    <cellStyle name="Obliczenia 2 24 3 2" xfId="24192"/>
    <cellStyle name="Obliczenia 2 24 3 3" xfId="24193"/>
    <cellStyle name="Obliczenia 2 24 3 4" xfId="24194"/>
    <cellStyle name="Obliczenia 2 24 30" xfId="24195"/>
    <cellStyle name="Obliczenia 2 24 30 2" xfId="24196"/>
    <cellStyle name="Obliczenia 2 24 30 3" xfId="24197"/>
    <cellStyle name="Obliczenia 2 24 31" xfId="24198"/>
    <cellStyle name="Obliczenia 2 24 31 2" xfId="24199"/>
    <cellStyle name="Obliczenia 2 24 31 3" xfId="24200"/>
    <cellStyle name="Obliczenia 2 24 32" xfId="24201"/>
    <cellStyle name="Obliczenia 2 24 32 2" xfId="24202"/>
    <cellStyle name="Obliczenia 2 24 32 3" xfId="24203"/>
    <cellStyle name="Obliczenia 2 24 33" xfId="24204"/>
    <cellStyle name="Obliczenia 2 24 33 2" xfId="24205"/>
    <cellStyle name="Obliczenia 2 24 33 3" xfId="24206"/>
    <cellStyle name="Obliczenia 2 24 34" xfId="24207"/>
    <cellStyle name="Obliczenia 2 24 34 2" xfId="24208"/>
    <cellStyle name="Obliczenia 2 24 34 3" xfId="24209"/>
    <cellStyle name="Obliczenia 2 24 35" xfId="24210"/>
    <cellStyle name="Obliczenia 2 24 35 2" xfId="24211"/>
    <cellStyle name="Obliczenia 2 24 35 3" xfId="24212"/>
    <cellStyle name="Obliczenia 2 24 36" xfId="24213"/>
    <cellStyle name="Obliczenia 2 24 36 2" xfId="24214"/>
    <cellStyle name="Obliczenia 2 24 36 3" xfId="24215"/>
    <cellStyle name="Obliczenia 2 24 37" xfId="24216"/>
    <cellStyle name="Obliczenia 2 24 37 2" xfId="24217"/>
    <cellStyle name="Obliczenia 2 24 37 3" xfId="24218"/>
    <cellStyle name="Obliczenia 2 24 38" xfId="24219"/>
    <cellStyle name="Obliczenia 2 24 38 2" xfId="24220"/>
    <cellStyle name="Obliczenia 2 24 38 3" xfId="24221"/>
    <cellStyle name="Obliczenia 2 24 39" xfId="24222"/>
    <cellStyle name="Obliczenia 2 24 39 2" xfId="24223"/>
    <cellStyle name="Obliczenia 2 24 39 3" xfId="24224"/>
    <cellStyle name="Obliczenia 2 24 4" xfId="24225"/>
    <cellStyle name="Obliczenia 2 24 4 2" xfId="24226"/>
    <cellStyle name="Obliczenia 2 24 4 3" xfId="24227"/>
    <cellStyle name="Obliczenia 2 24 4 4" xfId="24228"/>
    <cellStyle name="Obliczenia 2 24 40" xfId="24229"/>
    <cellStyle name="Obliczenia 2 24 40 2" xfId="24230"/>
    <cellStyle name="Obliczenia 2 24 40 3" xfId="24231"/>
    <cellStyle name="Obliczenia 2 24 41" xfId="24232"/>
    <cellStyle name="Obliczenia 2 24 41 2" xfId="24233"/>
    <cellStyle name="Obliczenia 2 24 41 3" xfId="24234"/>
    <cellStyle name="Obliczenia 2 24 42" xfId="24235"/>
    <cellStyle name="Obliczenia 2 24 42 2" xfId="24236"/>
    <cellStyle name="Obliczenia 2 24 42 3" xfId="24237"/>
    <cellStyle name="Obliczenia 2 24 43" xfId="24238"/>
    <cellStyle name="Obliczenia 2 24 43 2" xfId="24239"/>
    <cellStyle name="Obliczenia 2 24 43 3" xfId="24240"/>
    <cellStyle name="Obliczenia 2 24 44" xfId="24241"/>
    <cellStyle name="Obliczenia 2 24 44 2" xfId="24242"/>
    <cellStyle name="Obliczenia 2 24 44 3" xfId="24243"/>
    <cellStyle name="Obliczenia 2 24 45" xfId="24244"/>
    <cellStyle name="Obliczenia 2 24 45 2" xfId="24245"/>
    <cellStyle name="Obliczenia 2 24 45 3" xfId="24246"/>
    <cellStyle name="Obliczenia 2 24 46" xfId="24247"/>
    <cellStyle name="Obliczenia 2 24 46 2" xfId="24248"/>
    <cellStyle name="Obliczenia 2 24 46 3" xfId="24249"/>
    <cellStyle name="Obliczenia 2 24 47" xfId="24250"/>
    <cellStyle name="Obliczenia 2 24 47 2" xfId="24251"/>
    <cellStyle name="Obliczenia 2 24 47 3" xfId="24252"/>
    <cellStyle name="Obliczenia 2 24 48" xfId="24253"/>
    <cellStyle name="Obliczenia 2 24 48 2" xfId="24254"/>
    <cellStyle name="Obliczenia 2 24 48 3" xfId="24255"/>
    <cellStyle name="Obliczenia 2 24 49" xfId="24256"/>
    <cellStyle name="Obliczenia 2 24 49 2" xfId="24257"/>
    <cellStyle name="Obliczenia 2 24 49 3" xfId="24258"/>
    <cellStyle name="Obliczenia 2 24 5" xfId="24259"/>
    <cellStyle name="Obliczenia 2 24 5 2" xfId="24260"/>
    <cellStyle name="Obliczenia 2 24 5 3" xfId="24261"/>
    <cellStyle name="Obliczenia 2 24 5 4" xfId="24262"/>
    <cellStyle name="Obliczenia 2 24 50" xfId="24263"/>
    <cellStyle name="Obliczenia 2 24 50 2" xfId="24264"/>
    <cellStyle name="Obliczenia 2 24 50 3" xfId="24265"/>
    <cellStyle name="Obliczenia 2 24 51" xfId="24266"/>
    <cellStyle name="Obliczenia 2 24 51 2" xfId="24267"/>
    <cellStyle name="Obliczenia 2 24 51 3" xfId="24268"/>
    <cellStyle name="Obliczenia 2 24 52" xfId="24269"/>
    <cellStyle name="Obliczenia 2 24 52 2" xfId="24270"/>
    <cellStyle name="Obliczenia 2 24 52 3" xfId="24271"/>
    <cellStyle name="Obliczenia 2 24 53" xfId="24272"/>
    <cellStyle name="Obliczenia 2 24 53 2" xfId="24273"/>
    <cellStyle name="Obliczenia 2 24 53 3" xfId="24274"/>
    <cellStyle name="Obliczenia 2 24 54" xfId="24275"/>
    <cellStyle name="Obliczenia 2 24 54 2" xfId="24276"/>
    <cellStyle name="Obliczenia 2 24 54 3" xfId="24277"/>
    <cellStyle name="Obliczenia 2 24 55" xfId="24278"/>
    <cellStyle name="Obliczenia 2 24 55 2" xfId="24279"/>
    <cellStyle name="Obliczenia 2 24 55 3" xfId="24280"/>
    <cellStyle name="Obliczenia 2 24 56" xfId="24281"/>
    <cellStyle name="Obliczenia 2 24 56 2" xfId="24282"/>
    <cellStyle name="Obliczenia 2 24 56 3" xfId="24283"/>
    <cellStyle name="Obliczenia 2 24 57" xfId="24284"/>
    <cellStyle name="Obliczenia 2 24 58" xfId="24285"/>
    <cellStyle name="Obliczenia 2 24 6" xfId="24286"/>
    <cellStyle name="Obliczenia 2 24 6 2" xfId="24287"/>
    <cellStyle name="Obliczenia 2 24 6 3" xfId="24288"/>
    <cellStyle name="Obliczenia 2 24 6 4" xfId="24289"/>
    <cellStyle name="Obliczenia 2 24 7" xfId="24290"/>
    <cellStyle name="Obliczenia 2 24 7 2" xfId="24291"/>
    <cellStyle name="Obliczenia 2 24 7 3" xfId="24292"/>
    <cellStyle name="Obliczenia 2 24 7 4" xfId="24293"/>
    <cellStyle name="Obliczenia 2 24 8" xfId="24294"/>
    <cellStyle name="Obliczenia 2 24 8 2" xfId="24295"/>
    <cellStyle name="Obliczenia 2 24 8 3" xfId="24296"/>
    <cellStyle name="Obliczenia 2 24 8 4" xfId="24297"/>
    <cellStyle name="Obliczenia 2 24 9" xfId="24298"/>
    <cellStyle name="Obliczenia 2 24 9 2" xfId="24299"/>
    <cellStyle name="Obliczenia 2 24 9 3" xfId="24300"/>
    <cellStyle name="Obliczenia 2 24 9 4" xfId="24301"/>
    <cellStyle name="Obliczenia 2 25" xfId="24302"/>
    <cellStyle name="Obliczenia 2 25 10" xfId="24303"/>
    <cellStyle name="Obliczenia 2 25 10 2" xfId="24304"/>
    <cellStyle name="Obliczenia 2 25 10 3" xfId="24305"/>
    <cellStyle name="Obliczenia 2 25 10 4" xfId="24306"/>
    <cellStyle name="Obliczenia 2 25 11" xfId="24307"/>
    <cellStyle name="Obliczenia 2 25 11 2" xfId="24308"/>
    <cellStyle name="Obliczenia 2 25 11 3" xfId="24309"/>
    <cellStyle name="Obliczenia 2 25 11 4" xfId="24310"/>
    <cellStyle name="Obliczenia 2 25 12" xfId="24311"/>
    <cellStyle name="Obliczenia 2 25 12 2" xfId="24312"/>
    <cellStyle name="Obliczenia 2 25 12 3" xfId="24313"/>
    <cellStyle name="Obliczenia 2 25 12 4" xfId="24314"/>
    <cellStyle name="Obliczenia 2 25 13" xfId="24315"/>
    <cellStyle name="Obliczenia 2 25 13 2" xfId="24316"/>
    <cellStyle name="Obliczenia 2 25 13 3" xfId="24317"/>
    <cellStyle name="Obliczenia 2 25 13 4" xfId="24318"/>
    <cellStyle name="Obliczenia 2 25 14" xfId="24319"/>
    <cellStyle name="Obliczenia 2 25 14 2" xfId="24320"/>
    <cellStyle name="Obliczenia 2 25 14 3" xfId="24321"/>
    <cellStyle name="Obliczenia 2 25 14 4" xfId="24322"/>
    <cellStyle name="Obliczenia 2 25 15" xfId="24323"/>
    <cellStyle name="Obliczenia 2 25 15 2" xfId="24324"/>
    <cellStyle name="Obliczenia 2 25 15 3" xfId="24325"/>
    <cellStyle name="Obliczenia 2 25 15 4" xfId="24326"/>
    <cellStyle name="Obliczenia 2 25 16" xfId="24327"/>
    <cellStyle name="Obliczenia 2 25 16 2" xfId="24328"/>
    <cellStyle name="Obliczenia 2 25 16 3" xfId="24329"/>
    <cellStyle name="Obliczenia 2 25 16 4" xfId="24330"/>
    <cellStyle name="Obliczenia 2 25 17" xfId="24331"/>
    <cellStyle name="Obliczenia 2 25 17 2" xfId="24332"/>
    <cellStyle name="Obliczenia 2 25 17 3" xfId="24333"/>
    <cellStyle name="Obliczenia 2 25 17 4" xfId="24334"/>
    <cellStyle name="Obliczenia 2 25 18" xfId="24335"/>
    <cellStyle name="Obliczenia 2 25 18 2" xfId="24336"/>
    <cellStyle name="Obliczenia 2 25 18 3" xfId="24337"/>
    <cellStyle name="Obliczenia 2 25 18 4" xfId="24338"/>
    <cellStyle name="Obliczenia 2 25 19" xfId="24339"/>
    <cellStyle name="Obliczenia 2 25 19 2" xfId="24340"/>
    <cellStyle name="Obliczenia 2 25 19 3" xfId="24341"/>
    <cellStyle name="Obliczenia 2 25 19 4" xfId="24342"/>
    <cellStyle name="Obliczenia 2 25 2" xfId="24343"/>
    <cellStyle name="Obliczenia 2 25 2 2" xfId="24344"/>
    <cellStyle name="Obliczenia 2 25 2 3" xfId="24345"/>
    <cellStyle name="Obliczenia 2 25 2 4" xfId="24346"/>
    <cellStyle name="Obliczenia 2 25 20" xfId="24347"/>
    <cellStyle name="Obliczenia 2 25 20 2" xfId="24348"/>
    <cellStyle name="Obliczenia 2 25 20 3" xfId="24349"/>
    <cellStyle name="Obliczenia 2 25 20 4" xfId="24350"/>
    <cellStyle name="Obliczenia 2 25 21" xfId="24351"/>
    <cellStyle name="Obliczenia 2 25 21 2" xfId="24352"/>
    <cellStyle name="Obliczenia 2 25 21 3" xfId="24353"/>
    <cellStyle name="Obliczenia 2 25 22" xfId="24354"/>
    <cellStyle name="Obliczenia 2 25 22 2" xfId="24355"/>
    <cellStyle name="Obliczenia 2 25 22 3" xfId="24356"/>
    <cellStyle name="Obliczenia 2 25 23" xfId="24357"/>
    <cellStyle name="Obliczenia 2 25 23 2" xfId="24358"/>
    <cellStyle name="Obliczenia 2 25 23 3" xfId="24359"/>
    <cellStyle name="Obliczenia 2 25 24" xfId="24360"/>
    <cellStyle name="Obliczenia 2 25 24 2" xfId="24361"/>
    <cellStyle name="Obliczenia 2 25 24 3" xfId="24362"/>
    <cellStyle name="Obliczenia 2 25 25" xfId="24363"/>
    <cellStyle name="Obliczenia 2 25 25 2" xfId="24364"/>
    <cellStyle name="Obliczenia 2 25 25 3" xfId="24365"/>
    <cellStyle name="Obliczenia 2 25 26" xfId="24366"/>
    <cellStyle name="Obliczenia 2 25 26 2" xfId="24367"/>
    <cellStyle name="Obliczenia 2 25 26 3" xfId="24368"/>
    <cellStyle name="Obliczenia 2 25 27" xfId="24369"/>
    <cellStyle name="Obliczenia 2 25 27 2" xfId="24370"/>
    <cellStyle name="Obliczenia 2 25 27 3" xfId="24371"/>
    <cellStyle name="Obliczenia 2 25 28" xfId="24372"/>
    <cellStyle name="Obliczenia 2 25 28 2" xfId="24373"/>
    <cellStyle name="Obliczenia 2 25 28 3" xfId="24374"/>
    <cellStyle name="Obliczenia 2 25 29" xfId="24375"/>
    <cellStyle name="Obliczenia 2 25 29 2" xfId="24376"/>
    <cellStyle name="Obliczenia 2 25 29 3" xfId="24377"/>
    <cellStyle name="Obliczenia 2 25 3" xfId="24378"/>
    <cellStyle name="Obliczenia 2 25 3 2" xfId="24379"/>
    <cellStyle name="Obliczenia 2 25 3 3" xfId="24380"/>
    <cellStyle name="Obliczenia 2 25 3 4" xfId="24381"/>
    <cellStyle name="Obliczenia 2 25 30" xfId="24382"/>
    <cellStyle name="Obliczenia 2 25 30 2" xfId="24383"/>
    <cellStyle name="Obliczenia 2 25 30 3" xfId="24384"/>
    <cellStyle name="Obliczenia 2 25 31" xfId="24385"/>
    <cellStyle name="Obliczenia 2 25 31 2" xfId="24386"/>
    <cellStyle name="Obliczenia 2 25 31 3" xfId="24387"/>
    <cellStyle name="Obliczenia 2 25 32" xfId="24388"/>
    <cellStyle name="Obliczenia 2 25 32 2" xfId="24389"/>
    <cellStyle name="Obliczenia 2 25 32 3" xfId="24390"/>
    <cellStyle name="Obliczenia 2 25 33" xfId="24391"/>
    <cellStyle name="Obliczenia 2 25 33 2" xfId="24392"/>
    <cellStyle name="Obliczenia 2 25 33 3" xfId="24393"/>
    <cellStyle name="Obliczenia 2 25 34" xfId="24394"/>
    <cellStyle name="Obliczenia 2 25 34 2" xfId="24395"/>
    <cellStyle name="Obliczenia 2 25 34 3" xfId="24396"/>
    <cellStyle name="Obliczenia 2 25 35" xfId="24397"/>
    <cellStyle name="Obliczenia 2 25 35 2" xfId="24398"/>
    <cellStyle name="Obliczenia 2 25 35 3" xfId="24399"/>
    <cellStyle name="Obliczenia 2 25 36" xfId="24400"/>
    <cellStyle name="Obliczenia 2 25 36 2" xfId="24401"/>
    <cellStyle name="Obliczenia 2 25 36 3" xfId="24402"/>
    <cellStyle name="Obliczenia 2 25 37" xfId="24403"/>
    <cellStyle name="Obliczenia 2 25 37 2" xfId="24404"/>
    <cellStyle name="Obliczenia 2 25 37 3" xfId="24405"/>
    <cellStyle name="Obliczenia 2 25 38" xfId="24406"/>
    <cellStyle name="Obliczenia 2 25 38 2" xfId="24407"/>
    <cellStyle name="Obliczenia 2 25 38 3" xfId="24408"/>
    <cellStyle name="Obliczenia 2 25 39" xfId="24409"/>
    <cellStyle name="Obliczenia 2 25 39 2" xfId="24410"/>
    <cellStyle name="Obliczenia 2 25 39 3" xfId="24411"/>
    <cellStyle name="Obliczenia 2 25 4" xfId="24412"/>
    <cellStyle name="Obliczenia 2 25 4 2" xfId="24413"/>
    <cellStyle name="Obliczenia 2 25 4 3" xfId="24414"/>
    <cellStyle name="Obliczenia 2 25 4 4" xfId="24415"/>
    <cellStyle name="Obliczenia 2 25 40" xfId="24416"/>
    <cellStyle name="Obliczenia 2 25 40 2" xfId="24417"/>
    <cellStyle name="Obliczenia 2 25 40 3" xfId="24418"/>
    <cellStyle name="Obliczenia 2 25 41" xfId="24419"/>
    <cellStyle name="Obliczenia 2 25 41 2" xfId="24420"/>
    <cellStyle name="Obliczenia 2 25 41 3" xfId="24421"/>
    <cellStyle name="Obliczenia 2 25 42" xfId="24422"/>
    <cellStyle name="Obliczenia 2 25 42 2" xfId="24423"/>
    <cellStyle name="Obliczenia 2 25 42 3" xfId="24424"/>
    <cellStyle name="Obliczenia 2 25 43" xfId="24425"/>
    <cellStyle name="Obliczenia 2 25 43 2" xfId="24426"/>
    <cellStyle name="Obliczenia 2 25 43 3" xfId="24427"/>
    <cellStyle name="Obliczenia 2 25 44" xfId="24428"/>
    <cellStyle name="Obliczenia 2 25 44 2" xfId="24429"/>
    <cellStyle name="Obliczenia 2 25 44 3" xfId="24430"/>
    <cellStyle name="Obliczenia 2 25 45" xfId="24431"/>
    <cellStyle name="Obliczenia 2 25 45 2" xfId="24432"/>
    <cellStyle name="Obliczenia 2 25 45 3" xfId="24433"/>
    <cellStyle name="Obliczenia 2 25 46" xfId="24434"/>
    <cellStyle name="Obliczenia 2 25 46 2" xfId="24435"/>
    <cellStyle name="Obliczenia 2 25 46 3" xfId="24436"/>
    <cellStyle name="Obliczenia 2 25 47" xfId="24437"/>
    <cellStyle name="Obliczenia 2 25 47 2" xfId="24438"/>
    <cellStyle name="Obliczenia 2 25 47 3" xfId="24439"/>
    <cellStyle name="Obliczenia 2 25 48" xfId="24440"/>
    <cellStyle name="Obliczenia 2 25 48 2" xfId="24441"/>
    <cellStyle name="Obliczenia 2 25 48 3" xfId="24442"/>
    <cellStyle name="Obliczenia 2 25 49" xfId="24443"/>
    <cellStyle name="Obliczenia 2 25 49 2" xfId="24444"/>
    <cellStyle name="Obliczenia 2 25 49 3" xfId="24445"/>
    <cellStyle name="Obliczenia 2 25 5" xfId="24446"/>
    <cellStyle name="Obliczenia 2 25 5 2" xfId="24447"/>
    <cellStyle name="Obliczenia 2 25 5 3" xfId="24448"/>
    <cellStyle name="Obliczenia 2 25 5 4" xfId="24449"/>
    <cellStyle name="Obliczenia 2 25 50" xfId="24450"/>
    <cellStyle name="Obliczenia 2 25 50 2" xfId="24451"/>
    <cellStyle name="Obliczenia 2 25 50 3" xfId="24452"/>
    <cellStyle name="Obliczenia 2 25 51" xfId="24453"/>
    <cellStyle name="Obliczenia 2 25 51 2" xfId="24454"/>
    <cellStyle name="Obliczenia 2 25 51 3" xfId="24455"/>
    <cellStyle name="Obliczenia 2 25 52" xfId="24456"/>
    <cellStyle name="Obliczenia 2 25 52 2" xfId="24457"/>
    <cellStyle name="Obliczenia 2 25 52 3" xfId="24458"/>
    <cellStyle name="Obliczenia 2 25 53" xfId="24459"/>
    <cellStyle name="Obliczenia 2 25 53 2" xfId="24460"/>
    <cellStyle name="Obliczenia 2 25 53 3" xfId="24461"/>
    <cellStyle name="Obliczenia 2 25 54" xfId="24462"/>
    <cellStyle name="Obliczenia 2 25 54 2" xfId="24463"/>
    <cellStyle name="Obliczenia 2 25 54 3" xfId="24464"/>
    <cellStyle name="Obliczenia 2 25 55" xfId="24465"/>
    <cellStyle name="Obliczenia 2 25 55 2" xfId="24466"/>
    <cellStyle name="Obliczenia 2 25 55 3" xfId="24467"/>
    <cellStyle name="Obliczenia 2 25 56" xfId="24468"/>
    <cellStyle name="Obliczenia 2 25 56 2" xfId="24469"/>
    <cellStyle name="Obliczenia 2 25 56 3" xfId="24470"/>
    <cellStyle name="Obliczenia 2 25 57" xfId="24471"/>
    <cellStyle name="Obliczenia 2 25 58" xfId="24472"/>
    <cellStyle name="Obliczenia 2 25 6" xfId="24473"/>
    <cellStyle name="Obliczenia 2 25 6 2" xfId="24474"/>
    <cellStyle name="Obliczenia 2 25 6 3" xfId="24475"/>
    <cellStyle name="Obliczenia 2 25 6 4" xfId="24476"/>
    <cellStyle name="Obliczenia 2 25 7" xfId="24477"/>
    <cellStyle name="Obliczenia 2 25 7 2" xfId="24478"/>
    <cellStyle name="Obliczenia 2 25 7 3" xfId="24479"/>
    <cellStyle name="Obliczenia 2 25 7 4" xfId="24480"/>
    <cellStyle name="Obliczenia 2 25 8" xfId="24481"/>
    <cellStyle name="Obliczenia 2 25 8 2" xfId="24482"/>
    <cellStyle name="Obliczenia 2 25 8 3" xfId="24483"/>
    <cellStyle name="Obliczenia 2 25 8 4" xfId="24484"/>
    <cellStyle name="Obliczenia 2 25 9" xfId="24485"/>
    <cellStyle name="Obliczenia 2 25 9 2" xfId="24486"/>
    <cellStyle name="Obliczenia 2 25 9 3" xfId="24487"/>
    <cellStyle name="Obliczenia 2 25 9 4" xfId="24488"/>
    <cellStyle name="Obliczenia 2 26" xfId="24489"/>
    <cellStyle name="Obliczenia 2 26 10" xfId="24490"/>
    <cellStyle name="Obliczenia 2 26 10 2" xfId="24491"/>
    <cellStyle name="Obliczenia 2 26 10 3" xfId="24492"/>
    <cellStyle name="Obliczenia 2 26 10 4" xfId="24493"/>
    <cellStyle name="Obliczenia 2 26 11" xfId="24494"/>
    <cellStyle name="Obliczenia 2 26 11 2" xfId="24495"/>
    <cellStyle name="Obliczenia 2 26 11 3" xfId="24496"/>
    <cellStyle name="Obliczenia 2 26 11 4" xfId="24497"/>
    <cellStyle name="Obliczenia 2 26 12" xfId="24498"/>
    <cellStyle name="Obliczenia 2 26 12 2" xfId="24499"/>
    <cellStyle name="Obliczenia 2 26 12 3" xfId="24500"/>
    <cellStyle name="Obliczenia 2 26 12 4" xfId="24501"/>
    <cellStyle name="Obliczenia 2 26 13" xfId="24502"/>
    <cellStyle name="Obliczenia 2 26 13 2" xfId="24503"/>
    <cellStyle name="Obliczenia 2 26 13 3" xfId="24504"/>
    <cellStyle name="Obliczenia 2 26 13 4" xfId="24505"/>
    <cellStyle name="Obliczenia 2 26 14" xfId="24506"/>
    <cellStyle name="Obliczenia 2 26 14 2" xfId="24507"/>
    <cellStyle name="Obliczenia 2 26 14 3" xfId="24508"/>
    <cellStyle name="Obliczenia 2 26 14 4" xfId="24509"/>
    <cellStyle name="Obliczenia 2 26 15" xfId="24510"/>
    <cellStyle name="Obliczenia 2 26 15 2" xfId="24511"/>
    <cellStyle name="Obliczenia 2 26 15 3" xfId="24512"/>
    <cellStyle name="Obliczenia 2 26 15 4" xfId="24513"/>
    <cellStyle name="Obliczenia 2 26 16" xfId="24514"/>
    <cellStyle name="Obliczenia 2 26 16 2" xfId="24515"/>
    <cellStyle name="Obliczenia 2 26 16 3" xfId="24516"/>
    <cellStyle name="Obliczenia 2 26 16 4" xfId="24517"/>
    <cellStyle name="Obliczenia 2 26 17" xfId="24518"/>
    <cellStyle name="Obliczenia 2 26 17 2" xfId="24519"/>
    <cellStyle name="Obliczenia 2 26 17 3" xfId="24520"/>
    <cellStyle name="Obliczenia 2 26 17 4" xfId="24521"/>
    <cellStyle name="Obliczenia 2 26 18" xfId="24522"/>
    <cellStyle name="Obliczenia 2 26 18 2" xfId="24523"/>
    <cellStyle name="Obliczenia 2 26 18 3" xfId="24524"/>
    <cellStyle name="Obliczenia 2 26 18 4" xfId="24525"/>
    <cellStyle name="Obliczenia 2 26 19" xfId="24526"/>
    <cellStyle name="Obliczenia 2 26 19 2" xfId="24527"/>
    <cellStyle name="Obliczenia 2 26 19 3" xfId="24528"/>
    <cellStyle name="Obliczenia 2 26 19 4" xfId="24529"/>
    <cellStyle name="Obliczenia 2 26 2" xfId="24530"/>
    <cellStyle name="Obliczenia 2 26 2 2" xfId="24531"/>
    <cellStyle name="Obliczenia 2 26 2 3" xfId="24532"/>
    <cellStyle name="Obliczenia 2 26 2 4" xfId="24533"/>
    <cellStyle name="Obliczenia 2 26 20" xfId="24534"/>
    <cellStyle name="Obliczenia 2 26 20 2" xfId="24535"/>
    <cellStyle name="Obliczenia 2 26 20 3" xfId="24536"/>
    <cellStyle name="Obliczenia 2 26 20 4" xfId="24537"/>
    <cellStyle name="Obliczenia 2 26 21" xfId="24538"/>
    <cellStyle name="Obliczenia 2 26 21 2" xfId="24539"/>
    <cellStyle name="Obliczenia 2 26 21 3" xfId="24540"/>
    <cellStyle name="Obliczenia 2 26 22" xfId="24541"/>
    <cellStyle name="Obliczenia 2 26 22 2" xfId="24542"/>
    <cellStyle name="Obliczenia 2 26 22 3" xfId="24543"/>
    <cellStyle name="Obliczenia 2 26 23" xfId="24544"/>
    <cellStyle name="Obliczenia 2 26 23 2" xfId="24545"/>
    <cellStyle name="Obliczenia 2 26 23 3" xfId="24546"/>
    <cellStyle name="Obliczenia 2 26 24" xfId="24547"/>
    <cellStyle name="Obliczenia 2 26 24 2" xfId="24548"/>
    <cellStyle name="Obliczenia 2 26 24 3" xfId="24549"/>
    <cellStyle name="Obliczenia 2 26 25" xfId="24550"/>
    <cellStyle name="Obliczenia 2 26 25 2" xfId="24551"/>
    <cellStyle name="Obliczenia 2 26 25 3" xfId="24552"/>
    <cellStyle name="Obliczenia 2 26 26" xfId="24553"/>
    <cellStyle name="Obliczenia 2 26 26 2" xfId="24554"/>
    <cellStyle name="Obliczenia 2 26 26 3" xfId="24555"/>
    <cellStyle name="Obliczenia 2 26 27" xfId="24556"/>
    <cellStyle name="Obliczenia 2 26 27 2" xfId="24557"/>
    <cellStyle name="Obliczenia 2 26 27 3" xfId="24558"/>
    <cellStyle name="Obliczenia 2 26 28" xfId="24559"/>
    <cellStyle name="Obliczenia 2 26 28 2" xfId="24560"/>
    <cellStyle name="Obliczenia 2 26 28 3" xfId="24561"/>
    <cellStyle name="Obliczenia 2 26 29" xfId="24562"/>
    <cellStyle name="Obliczenia 2 26 29 2" xfId="24563"/>
    <cellStyle name="Obliczenia 2 26 29 3" xfId="24564"/>
    <cellStyle name="Obliczenia 2 26 3" xfId="24565"/>
    <cellStyle name="Obliczenia 2 26 3 2" xfId="24566"/>
    <cellStyle name="Obliczenia 2 26 3 3" xfId="24567"/>
    <cellStyle name="Obliczenia 2 26 3 4" xfId="24568"/>
    <cellStyle name="Obliczenia 2 26 30" xfId="24569"/>
    <cellStyle name="Obliczenia 2 26 30 2" xfId="24570"/>
    <cellStyle name="Obliczenia 2 26 30 3" xfId="24571"/>
    <cellStyle name="Obliczenia 2 26 31" xfId="24572"/>
    <cellStyle name="Obliczenia 2 26 31 2" xfId="24573"/>
    <cellStyle name="Obliczenia 2 26 31 3" xfId="24574"/>
    <cellStyle name="Obliczenia 2 26 32" xfId="24575"/>
    <cellStyle name="Obliczenia 2 26 32 2" xfId="24576"/>
    <cellStyle name="Obliczenia 2 26 32 3" xfId="24577"/>
    <cellStyle name="Obliczenia 2 26 33" xfId="24578"/>
    <cellStyle name="Obliczenia 2 26 33 2" xfId="24579"/>
    <cellStyle name="Obliczenia 2 26 33 3" xfId="24580"/>
    <cellStyle name="Obliczenia 2 26 34" xfId="24581"/>
    <cellStyle name="Obliczenia 2 26 34 2" xfId="24582"/>
    <cellStyle name="Obliczenia 2 26 34 3" xfId="24583"/>
    <cellStyle name="Obliczenia 2 26 35" xfId="24584"/>
    <cellStyle name="Obliczenia 2 26 35 2" xfId="24585"/>
    <cellStyle name="Obliczenia 2 26 35 3" xfId="24586"/>
    <cellStyle name="Obliczenia 2 26 36" xfId="24587"/>
    <cellStyle name="Obliczenia 2 26 36 2" xfId="24588"/>
    <cellStyle name="Obliczenia 2 26 36 3" xfId="24589"/>
    <cellStyle name="Obliczenia 2 26 37" xfId="24590"/>
    <cellStyle name="Obliczenia 2 26 37 2" xfId="24591"/>
    <cellStyle name="Obliczenia 2 26 37 3" xfId="24592"/>
    <cellStyle name="Obliczenia 2 26 38" xfId="24593"/>
    <cellStyle name="Obliczenia 2 26 38 2" xfId="24594"/>
    <cellStyle name="Obliczenia 2 26 38 3" xfId="24595"/>
    <cellStyle name="Obliczenia 2 26 39" xfId="24596"/>
    <cellStyle name="Obliczenia 2 26 39 2" xfId="24597"/>
    <cellStyle name="Obliczenia 2 26 39 3" xfId="24598"/>
    <cellStyle name="Obliczenia 2 26 4" xfId="24599"/>
    <cellStyle name="Obliczenia 2 26 4 2" xfId="24600"/>
    <cellStyle name="Obliczenia 2 26 4 3" xfId="24601"/>
    <cellStyle name="Obliczenia 2 26 4 4" xfId="24602"/>
    <cellStyle name="Obliczenia 2 26 40" xfId="24603"/>
    <cellStyle name="Obliczenia 2 26 40 2" xfId="24604"/>
    <cellStyle name="Obliczenia 2 26 40 3" xfId="24605"/>
    <cellStyle name="Obliczenia 2 26 41" xfId="24606"/>
    <cellStyle name="Obliczenia 2 26 41 2" xfId="24607"/>
    <cellStyle name="Obliczenia 2 26 41 3" xfId="24608"/>
    <cellStyle name="Obliczenia 2 26 42" xfId="24609"/>
    <cellStyle name="Obliczenia 2 26 42 2" xfId="24610"/>
    <cellStyle name="Obliczenia 2 26 42 3" xfId="24611"/>
    <cellStyle name="Obliczenia 2 26 43" xfId="24612"/>
    <cellStyle name="Obliczenia 2 26 43 2" xfId="24613"/>
    <cellStyle name="Obliczenia 2 26 43 3" xfId="24614"/>
    <cellStyle name="Obliczenia 2 26 44" xfId="24615"/>
    <cellStyle name="Obliczenia 2 26 44 2" xfId="24616"/>
    <cellStyle name="Obliczenia 2 26 44 3" xfId="24617"/>
    <cellStyle name="Obliczenia 2 26 45" xfId="24618"/>
    <cellStyle name="Obliczenia 2 26 45 2" xfId="24619"/>
    <cellStyle name="Obliczenia 2 26 45 3" xfId="24620"/>
    <cellStyle name="Obliczenia 2 26 46" xfId="24621"/>
    <cellStyle name="Obliczenia 2 26 46 2" xfId="24622"/>
    <cellStyle name="Obliczenia 2 26 46 3" xfId="24623"/>
    <cellStyle name="Obliczenia 2 26 47" xfId="24624"/>
    <cellStyle name="Obliczenia 2 26 47 2" xfId="24625"/>
    <cellStyle name="Obliczenia 2 26 47 3" xfId="24626"/>
    <cellStyle name="Obliczenia 2 26 48" xfId="24627"/>
    <cellStyle name="Obliczenia 2 26 48 2" xfId="24628"/>
    <cellStyle name="Obliczenia 2 26 48 3" xfId="24629"/>
    <cellStyle name="Obliczenia 2 26 49" xfId="24630"/>
    <cellStyle name="Obliczenia 2 26 49 2" xfId="24631"/>
    <cellStyle name="Obliczenia 2 26 49 3" xfId="24632"/>
    <cellStyle name="Obliczenia 2 26 5" xfId="24633"/>
    <cellStyle name="Obliczenia 2 26 5 2" xfId="24634"/>
    <cellStyle name="Obliczenia 2 26 5 3" xfId="24635"/>
    <cellStyle name="Obliczenia 2 26 5 4" xfId="24636"/>
    <cellStyle name="Obliczenia 2 26 50" xfId="24637"/>
    <cellStyle name="Obliczenia 2 26 50 2" xfId="24638"/>
    <cellStyle name="Obliczenia 2 26 50 3" xfId="24639"/>
    <cellStyle name="Obliczenia 2 26 51" xfId="24640"/>
    <cellStyle name="Obliczenia 2 26 51 2" xfId="24641"/>
    <cellStyle name="Obliczenia 2 26 51 3" xfId="24642"/>
    <cellStyle name="Obliczenia 2 26 52" xfId="24643"/>
    <cellStyle name="Obliczenia 2 26 52 2" xfId="24644"/>
    <cellStyle name="Obliczenia 2 26 52 3" xfId="24645"/>
    <cellStyle name="Obliczenia 2 26 53" xfId="24646"/>
    <cellStyle name="Obliczenia 2 26 53 2" xfId="24647"/>
    <cellStyle name="Obliczenia 2 26 53 3" xfId="24648"/>
    <cellStyle name="Obliczenia 2 26 54" xfId="24649"/>
    <cellStyle name="Obliczenia 2 26 54 2" xfId="24650"/>
    <cellStyle name="Obliczenia 2 26 54 3" xfId="24651"/>
    <cellStyle name="Obliczenia 2 26 55" xfId="24652"/>
    <cellStyle name="Obliczenia 2 26 55 2" xfId="24653"/>
    <cellStyle name="Obliczenia 2 26 55 3" xfId="24654"/>
    <cellStyle name="Obliczenia 2 26 56" xfId="24655"/>
    <cellStyle name="Obliczenia 2 26 56 2" xfId="24656"/>
    <cellStyle name="Obliczenia 2 26 56 3" xfId="24657"/>
    <cellStyle name="Obliczenia 2 26 57" xfId="24658"/>
    <cellStyle name="Obliczenia 2 26 58" xfId="24659"/>
    <cellStyle name="Obliczenia 2 26 6" xfId="24660"/>
    <cellStyle name="Obliczenia 2 26 6 2" xfId="24661"/>
    <cellStyle name="Obliczenia 2 26 6 3" xfId="24662"/>
    <cellStyle name="Obliczenia 2 26 6 4" xfId="24663"/>
    <cellStyle name="Obliczenia 2 26 7" xfId="24664"/>
    <cellStyle name="Obliczenia 2 26 7 2" xfId="24665"/>
    <cellStyle name="Obliczenia 2 26 7 3" xfId="24666"/>
    <cellStyle name="Obliczenia 2 26 7 4" xfId="24667"/>
    <cellStyle name="Obliczenia 2 26 8" xfId="24668"/>
    <cellStyle name="Obliczenia 2 26 8 2" xfId="24669"/>
    <cellStyle name="Obliczenia 2 26 8 3" xfId="24670"/>
    <cellStyle name="Obliczenia 2 26 8 4" xfId="24671"/>
    <cellStyle name="Obliczenia 2 26 9" xfId="24672"/>
    <cellStyle name="Obliczenia 2 26 9 2" xfId="24673"/>
    <cellStyle name="Obliczenia 2 26 9 3" xfId="24674"/>
    <cellStyle name="Obliczenia 2 26 9 4" xfId="24675"/>
    <cellStyle name="Obliczenia 2 27" xfId="24676"/>
    <cellStyle name="Obliczenia 2 27 10" xfId="24677"/>
    <cellStyle name="Obliczenia 2 27 10 2" xfId="24678"/>
    <cellStyle name="Obliczenia 2 27 10 3" xfId="24679"/>
    <cellStyle name="Obliczenia 2 27 10 4" xfId="24680"/>
    <cellStyle name="Obliczenia 2 27 11" xfId="24681"/>
    <cellStyle name="Obliczenia 2 27 11 2" xfId="24682"/>
    <cellStyle name="Obliczenia 2 27 11 3" xfId="24683"/>
    <cellStyle name="Obliczenia 2 27 11 4" xfId="24684"/>
    <cellStyle name="Obliczenia 2 27 12" xfId="24685"/>
    <cellStyle name="Obliczenia 2 27 12 2" xfId="24686"/>
    <cellStyle name="Obliczenia 2 27 12 3" xfId="24687"/>
    <cellStyle name="Obliczenia 2 27 12 4" xfId="24688"/>
    <cellStyle name="Obliczenia 2 27 13" xfId="24689"/>
    <cellStyle name="Obliczenia 2 27 13 2" xfId="24690"/>
    <cellStyle name="Obliczenia 2 27 13 3" xfId="24691"/>
    <cellStyle name="Obliczenia 2 27 13 4" xfId="24692"/>
    <cellStyle name="Obliczenia 2 27 14" xfId="24693"/>
    <cellStyle name="Obliczenia 2 27 14 2" xfId="24694"/>
    <cellStyle name="Obliczenia 2 27 14 3" xfId="24695"/>
    <cellStyle name="Obliczenia 2 27 14 4" xfId="24696"/>
    <cellStyle name="Obliczenia 2 27 15" xfId="24697"/>
    <cellStyle name="Obliczenia 2 27 15 2" xfId="24698"/>
    <cellStyle name="Obliczenia 2 27 15 3" xfId="24699"/>
    <cellStyle name="Obliczenia 2 27 15 4" xfId="24700"/>
    <cellStyle name="Obliczenia 2 27 16" xfId="24701"/>
    <cellStyle name="Obliczenia 2 27 16 2" xfId="24702"/>
    <cellStyle name="Obliczenia 2 27 16 3" xfId="24703"/>
    <cellStyle name="Obliczenia 2 27 16 4" xfId="24704"/>
    <cellStyle name="Obliczenia 2 27 17" xfId="24705"/>
    <cellStyle name="Obliczenia 2 27 17 2" xfId="24706"/>
    <cellStyle name="Obliczenia 2 27 17 3" xfId="24707"/>
    <cellStyle name="Obliczenia 2 27 17 4" xfId="24708"/>
    <cellStyle name="Obliczenia 2 27 18" xfId="24709"/>
    <cellStyle name="Obliczenia 2 27 18 2" xfId="24710"/>
    <cellStyle name="Obliczenia 2 27 18 3" xfId="24711"/>
    <cellStyle name="Obliczenia 2 27 18 4" xfId="24712"/>
    <cellStyle name="Obliczenia 2 27 19" xfId="24713"/>
    <cellStyle name="Obliczenia 2 27 19 2" xfId="24714"/>
    <cellStyle name="Obliczenia 2 27 19 3" xfId="24715"/>
    <cellStyle name="Obliczenia 2 27 19 4" xfId="24716"/>
    <cellStyle name="Obliczenia 2 27 2" xfId="24717"/>
    <cellStyle name="Obliczenia 2 27 2 2" xfId="24718"/>
    <cellStyle name="Obliczenia 2 27 2 3" xfId="24719"/>
    <cellStyle name="Obliczenia 2 27 2 4" xfId="24720"/>
    <cellStyle name="Obliczenia 2 27 20" xfId="24721"/>
    <cellStyle name="Obliczenia 2 27 20 2" xfId="24722"/>
    <cellStyle name="Obliczenia 2 27 20 3" xfId="24723"/>
    <cellStyle name="Obliczenia 2 27 20 4" xfId="24724"/>
    <cellStyle name="Obliczenia 2 27 21" xfId="24725"/>
    <cellStyle name="Obliczenia 2 27 21 2" xfId="24726"/>
    <cellStyle name="Obliczenia 2 27 21 3" xfId="24727"/>
    <cellStyle name="Obliczenia 2 27 22" xfId="24728"/>
    <cellStyle name="Obliczenia 2 27 22 2" xfId="24729"/>
    <cellStyle name="Obliczenia 2 27 22 3" xfId="24730"/>
    <cellStyle name="Obliczenia 2 27 23" xfId="24731"/>
    <cellStyle name="Obliczenia 2 27 23 2" xfId="24732"/>
    <cellStyle name="Obliczenia 2 27 23 3" xfId="24733"/>
    <cellStyle name="Obliczenia 2 27 24" xfId="24734"/>
    <cellStyle name="Obliczenia 2 27 24 2" xfId="24735"/>
    <cellStyle name="Obliczenia 2 27 24 3" xfId="24736"/>
    <cellStyle name="Obliczenia 2 27 25" xfId="24737"/>
    <cellStyle name="Obliczenia 2 27 25 2" xfId="24738"/>
    <cellStyle name="Obliczenia 2 27 25 3" xfId="24739"/>
    <cellStyle name="Obliczenia 2 27 26" xfId="24740"/>
    <cellStyle name="Obliczenia 2 27 26 2" xfId="24741"/>
    <cellStyle name="Obliczenia 2 27 26 3" xfId="24742"/>
    <cellStyle name="Obliczenia 2 27 27" xfId="24743"/>
    <cellStyle name="Obliczenia 2 27 27 2" xfId="24744"/>
    <cellStyle name="Obliczenia 2 27 27 3" xfId="24745"/>
    <cellStyle name="Obliczenia 2 27 28" xfId="24746"/>
    <cellStyle name="Obliczenia 2 27 28 2" xfId="24747"/>
    <cellStyle name="Obliczenia 2 27 28 3" xfId="24748"/>
    <cellStyle name="Obliczenia 2 27 29" xfId="24749"/>
    <cellStyle name="Obliczenia 2 27 29 2" xfId="24750"/>
    <cellStyle name="Obliczenia 2 27 29 3" xfId="24751"/>
    <cellStyle name="Obliczenia 2 27 3" xfId="24752"/>
    <cellStyle name="Obliczenia 2 27 3 2" xfId="24753"/>
    <cellStyle name="Obliczenia 2 27 3 3" xfId="24754"/>
    <cellStyle name="Obliczenia 2 27 3 4" xfId="24755"/>
    <cellStyle name="Obliczenia 2 27 30" xfId="24756"/>
    <cellStyle name="Obliczenia 2 27 30 2" xfId="24757"/>
    <cellStyle name="Obliczenia 2 27 30 3" xfId="24758"/>
    <cellStyle name="Obliczenia 2 27 31" xfId="24759"/>
    <cellStyle name="Obliczenia 2 27 31 2" xfId="24760"/>
    <cellStyle name="Obliczenia 2 27 31 3" xfId="24761"/>
    <cellStyle name="Obliczenia 2 27 32" xfId="24762"/>
    <cellStyle name="Obliczenia 2 27 32 2" xfId="24763"/>
    <cellStyle name="Obliczenia 2 27 32 3" xfId="24764"/>
    <cellStyle name="Obliczenia 2 27 33" xfId="24765"/>
    <cellStyle name="Obliczenia 2 27 33 2" xfId="24766"/>
    <cellStyle name="Obliczenia 2 27 33 3" xfId="24767"/>
    <cellStyle name="Obliczenia 2 27 34" xfId="24768"/>
    <cellStyle name="Obliczenia 2 27 34 2" xfId="24769"/>
    <cellStyle name="Obliczenia 2 27 34 3" xfId="24770"/>
    <cellStyle name="Obliczenia 2 27 35" xfId="24771"/>
    <cellStyle name="Obliczenia 2 27 35 2" xfId="24772"/>
    <cellStyle name="Obliczenia 2 27 35 3" xfId="24773"/>
    <cellStyle name="Obliczenia 2 27 36" xfId="24774"/>
    <cellStyle name="Obliczenia 2 27 36 2" xfId="24775"/>
    <cellStyle name="Obliczenia 2 27 36 3" xfId="24776"/>
    <cellStyle name="Obliczenia 2 27 37" xfId="24777"/>
    <cellStyle name="Obliczenia 2 27 37 2" xfId="24778"/>
    <cellStyle name="Obliczenia 2 27 37 3" xfId="24779"/>
    <cellStyle name="Obliczenia 2 27 38" xfId="24780"/>
    <cellStyle name="Obliczenia 2 27 38 2" xfId="24781"/>
    <cellStyle name="Obliczenia 2 27 38 3" xfId="24782"/>
    <cellStyle name="Obliczenia 2 27 39" xfId="24783"/>
    <cellStyle name="Obliczenia 2 27 39 2" xfId="24784"/>
    <cellStyle name="Obliczenia 2 27 39 3" xfId="24785"/>
    <cellStyle name="Obliczenia 2 27 4" xfId="24786"/>
    <cellStyle name="Obliczenia 2 27 4 2" xfId="24787"/>
    <cellStyle name="Obliczenia 2 27 4 3" xfId="24788"/>
    <cellStyle name="Obliczenia 2 27 4 4" xfId="24789"/>
    <cellStyle name="Obliczenia 2 27 40" xfId="24790"/>
    <cellStyle name="Obliczenia 2 27 40 2" xfId="24791"/>
    <cellStyle name="Obliczenia 2 27 40 3" xfId="24792"/>
    <cellStyle name="Obliczenia 2 27 41" xfId="24793"/>
    <cellStyle name="Obliczenia 2 27 41 2" xfId="24794"/>
    <cellStyle name="Obliczenia 2 27 41 3" xfId="24795"/>
    <cellStyle name="Obliczenia 2 27 42" xfId="24796"/>
    <cellStyle name="Obliczenia 2 27 42 2" xfId="24797"/>
    <cellStyle name="Obliczenia 2 27 42 3" xfId="24798"/>
    <cellStyle name="Obliczenia 2 27 43" xfId="24799"/>
    <cellStyle name="Obliczenia 2 27 43 2" xfId="24800"/>
    <cellStyle name="Obliczenia 2 27 43 3" xfId="24801"/>
    <cellStyle name="Obliczenia 2 27 44" xfId="24802"/>
    <cellStyle name="Obliczenia 2 27 44 2" xfId="24803"/>
    <cellStyle name="Obliczenia 2 27 44 3" xfId="24804"/>
    <cellStyle name="Obliczenia 2 27 45" xfId="24805"/>
    <cellStyle name="Obliczenia 2 27 45 2" xfId="24806"/>
    <cellStyle name="Obliczenia 2 27 45 3" xfId="24807"/>
    <cellStyle name="Obliczenia 2 27 46" xfId="24808"/>
    <cellStyle name="Obliczenia 2 27 46 2" xfId="24809"/>
    <cellStyle name="Obliczenia 2 27 46 3" xfId="24810"/>
    <cellStyle name="Obliczenia 2 27 47" xfId="24811"/>
    <cellStyle name="Obliczenia 2 27 47 2" xfId="24812"/>
    <cellStyle name="Obliczenia 2 27 47 3" xfId="24813"/>
    <cellStyle name="Obliczenia 2 27 48" xfId="24814"/>
    <cellStyle name="Obliczenia 2 27 48 2" xfId="24815"/>
    <cellStyle name="Obliczenia 2 27 48 3" xfId="24816"/>
    <cellStyle name="Obliczenia 2 27 49" xfId="24817"/>
    <cellStyle name="Obliczenia 2 27 49 2" xfId="24818"/>
    <cellStyle name="Obliczenia 2 27 49 3" xfId="24819"/>
    <cellStyle name="Obliczenia 2 27 5" xfId="24820"/>
    <cellStyle name="Obliczenia 2 27 5 2" xfId="24821"/>
    <cellStyle name="Obliczenia 2 27 5 3" xfId="24822"/>
    <cellStyle name="Obliczenia 2 27 5 4" xfId="24823"/>
    <cellStyle name="Obliczenia 2 27 50" xfId="24824"/>
    <cellStyle name="Obliczenia 2 27 50 2" xfId="24825"/>
    <cellStyle name="Obliczenia 2 27 50 3" xfId="24826"/>
    <cellStyle name="Obliczenia 2 27 51" xfId="24827"/>
    <cellStyle name="Obliczenia 2 27 51 2" xfId="24828"/>
    <cellStyle name="Obliczenia 2 27 51 3" xfId="24829"/>
    <cellStyle name="Obliczenia 2 27 52" xfId="24830"/>
    <cellStyle name="Obliczenia 2 27 52 2" xfId="24831"/>
    <cellStyle name="Obliczenia 2 27 52 3" xfId="24832"/>
    <cellStyle name="Obliczenia 2 27 53" xfId="24833"/>
    <cellStyle name="Obliczenia 2 27 53 2" xfId="24834"/>
    <cellStyle name="Obliczenia 2 27 53 3" xfId="24835"/>
    <cellStyle name="Obliczenia 2 27 54" xfId="24836"/>
    <cellStyle name="Obliczenia 2 27 54 2" xfId="24837"/>
    <cellStyle name="Obliczenia 2 27 54 3" xfId="24838"/>
    <cellStyle name="Obliczenia 2 27 55" xfId="24839"/>
    <cellStyle name="Obliczenia 2 27 55 2" xfId="24840"/>
    <cellStyle name="Obliczenia 2 27 55 3" xfId="24841"/>
    <cellStyle name="Obliczenia 2 27 56" xfId="24842"/>
    <cellStyle name="Obliczenia 2 27 56 2" xfId="24843"/>
    <cellStyle name="Obliczenia 2 27 56 3" xfId="24844"/>
    <cellStyle name="Obliczenia 2 27 57" xfId="24845"/>
    <cellStyle name="Obliczenia 2 27 58" xfId="24846"/>
    <cellStyle name="Obliczenia 2 27 6" xfId="24847"/>
    <cellStyle name="Obliczenia 2 27 6 2" xfId="24848"/>
    <cellStyle name="Obliczenia 2 27 6 3" xfId="24849"/>
    <cellStyle name="Obliczenia 2 27 6 4" xfId="24850"/>
    <cellStyle name="Obliczenia 2 27 7" xfId="24851"/>
    <cellStyle name="Obliczenia 2 27 7 2" xfId="24852"/>
    <cellStyle name="Obliczenia 2 27 7 3" xfId="24853"/>
    <cellStyle name="Obliczenia 2 27 7 4" xfId="24854"/>
    <cellStyle name="Obliczenia 2 27 8" xfId="24855"/>
    <cellStyle name="Obliczenia 2 27 8 2" xfId="24856"/>
    <cellStyle name="Obliczenia 2 27 8 3" xfId="24857"/>
    <cellStyle name="Obliczenia 2 27 8 4" xfId="24858"/>
    <cellStyle name="Obliczenia 2 27 9" xfId="24859"/>
    <cellStyle name="Obliczenia 2 27 9 2" xfId="24860"/>
    <cellStyle name="Obliczenia 2 27 9 3" xfId="24861"/>
    <cellStyle name="Obliczenia 2 27 9 4" xfId="24862"/>
    <cellStyle name="Obliczenia 2 28" xfId="24863"/>
    <cellStyle name="Obliczenia 2 28 10" xfId="24864"/>
    <cellStyle name="Obliczenia 2 28 10 2" xfId="24865"/>
    <cellStyle name="Obliczenia 2 28 10 3" xfId="24866"/>
    <cellStyle name="Obliczenia 2 28 10 4" xfId="24867"/>
    <cellStyle name="Obliczenia 2 28 11" xfId="24868"/>
    <cellStyle name="Obliczenia 2 28 11 2" xfId="24869"/>
    <cellStyle name="Obliczenia 2 28 11 3" xfId="24870"/>
    <cellStyle name="Obliczenia 2 28 11 4" xfId="24871"/>
    <cellStyle name="Obliczenia 2 28 12" xfId="24872"/>
    <cellStyle name="Obliczenia 2 28 12 2" xfId="24873"/>
    <cellStyle name="Obliczenia 2 28 12 3" xfId="24874"/>
    <cellStyle name="Obliczenia 2 28 12 4" xfId="24875"/>
    <cellStyle name="Obliczenia 2 28 13" xfId="24876"/>
    <cellStyle name="Obliczenia 2 28 13 2" xfId="24877"/>
    <cellStyle name="Obliczenia 2 28 13 3" xfId="24878"/>
    <cellStyle name="Obliczenia 2 28 13 4" xfId="24879"/>
    <cellStyle name="Obliczenia 2 28 14" xfId="24880"/>
    <cellStyle name="Obliczenia 2 28 14 2" xfId="24881"/>
    <cellStyle name="Obliczenia 2 28 14 3" xfId="24882"/>
    <cellStyle name="Obliczenia 2 28 14 4" xfId="24883"/>
    <cellStyle name="Obliczenia 2 28 15" xfId="24884"/>
    <cellStyle name="Obliczenia 2 28 15 2" xfId="24885"/>
    <cellStyle name="Obliczenia 2 28 15 3" xfId="24886"/>
    <cellStyle name="Obliczenia 2 28 15 4" xfId="24887"/>
    <cellStyle name="Obliczenia 2 28 16" xfId="24888"/>
    <cellStyle name="Obliczenia 2 28 16 2" xfId="24889"/>
    <cellStyle name="Obliczenia 2 28 16 3" xfId="24890"/>
    <cellStyle name="Obliczenia 2 28 16 4" xfId="24891"/>
    <cellStyle name="Obliczenia 2 28 17" xfId="24892"/>
    <cellStyle name="Obliczenia 2 28 17 2" xfId="24893"/>
    <cellStyle name="Obliczenia 2 28 17 3" xfId="24894"/>
    <cellStyle name="Obliczenia 2 28 17 4" xfId="24895"/>
    <cellStyle name="Obliczenia 2 28 18" xfId="24896"/>
    <cellStyle name="Obliczenia 2 28 18 2" xfId="24897"/>
    <cellStyle name="Obliczenia 2 28 18 3" xfId="24898"/>
    <cellStyle name="Obliczenia 2 28 18 4" xfId="24899"/>
    <cellStyle name="Obliczenia 2 28 19" xfId="24900"/>
    <cellStyle name="Obliczenia 2 28 19 2" xfId="24901"/>
    <cellStyle name="Obliczenia 2 28 19 3" xfId="24902"/>
    <cellStyle name="Obliczenia 2 28 19 4" xfId="24903"/>
    <cellStyle name="Obliczenia 2 28 2" xfId="24904"/>
    <cellStyle name="Obliczenia 2 28 2 2" xfId="24905"/>
    <cellStyle name="Obliczenia 2 28 2 3" xfId="24906"/>
    <cellStyle name="Obliczenia 2 28 2 4" xfId="24907"/>
    <cellStyle name="Obliczenia 2 28 20" xfId="24908"/>
    <cellStyle name="Obliczenia 2 28 20 2" xfId="24909"/>
    <cellStyle name="Obliczenia 2 28 20 3" xfId="24910"/>
    <cellStyle name="Obliczenia 2 28 20 4" xfId="24911"/>
    <cellStyle name="Obliczenia 2 28 21" xfId="24912"/>
    <cellStyle name="Obliczenia 2 28 21 2" xfId="24913"/>
    <cellStyle name="Obliczenia 2 28 21 3" xfId="24914"/>
    <cellStyle name="Obliczenia 2 28 22" xfId="24915"/>
    <cellStyle name="Obliczenia 2 28 22 2" xfId="24916"/>
    <cellStyle name="Obliczenia 2 28 22 3" xfId="24917"/>
    <cellStyle name="Obliczenia 2 28 23" xfId="24918"/>
    <cellStyle name="Obliczenia 2 28 23 2" xfId="24919"/>
    <cellStyle name="Obliczenia 2 28 23 3" xfId="24920"/>
    <cellStyle name="Obliczenia 2 28 24" xfId="24921"/>
    <cellStyle name="Obliczenia 2 28 24 2" xfId="24922"/>
    <cellStyle name="Obliczenia 2 28 24 3" xfId="24923"/>
    <cellStyle name="Obliczenia 2 28 25" xfId="24924"/>
    <cellStyle name="Obliczenia 2 28 25 2" xfId="24925"/>
    <cellStyle name="Obliczenia 2 28 25 3" xfId="24926"/>
    <cellStyle name="Obliczenia 2 28 26" xfId="24927"/>
    <cellStyle name="Obliczenia 2 28 26 2" xfId="24928"/>
    <cellStyle name="Obliczenia 2 28 26 3" xfId="24929"/>
    <cellStyle name="Obliczenia 2 28 27" xfId="24930"/>
    <cellStyle name="Obliczenia 2 28 27 2" xfId="24931"/>
    <cellStyle name="Obliczenia 2 28 27 3" xfId="24932"/>
    <cellStyle name="Obliczenia 2 28 28" xfId="24933"/>
    <cellStyle name="Obliczenia 2 28 28 2" xfId="24934"/>
    <cellStyle name="Obliczenia 2 28 28 3" xfId="24935"/>
    <cellStyle name="Obliczenia 2 28 29" xfId="24936"/>
    <cellStyle name="Obliczenia 2 28 29 2" xfId="24937"/>
    <cellStyle name="Obliczenia 2 28 29 3" xfId="24938"/>
    <cellStyle name="Obliczenia 2 28 3" xfId="24939"/>
    <cellStyle name="Obliczenia 2 28 3 2" xfId="24940"/>
    <cellStyle name="Obliczenia 2 28 3 3" xfId="24941"/>
    <cellStyle name="Obliczenia 2 28 3 4" xfId="24942"/>
    <cellStyle name="Obliczenia 2 28 30" xfId="24943"/>
    <cellStyle name="Obliczenia 2 28 30 2" xfId="24944"/>
    <cellStyle name="Obliczenia 2 28 30 3" xfId="24945"/>
    <cellStyle name="Obliczenia 2 28 31" xfId="24946"/>
    <cellStyle name="Obliczenia 2 28 31 2" xfId="24947"/>
    <cellStyle name="Obliczenia 2 28 31 3" xfId="24948"/>
    <cellStyle name="Obliczenia 2 28 32" xfId="24949"/>
    <cellStyle name="Obliczenia 2 28 32 2" xfId="24950"/>
    <cellStyle name="Obliczenia 2 28 32 3" xfId="24951"/>
    <cellStyle name="Obliczenia 2 28 33" xfId="24952"/>
    <cellStyle name="Obliczenia 2 28 33 2" xfId="24953"/>
    <cellStyle name="Obliczenia 2 28 33 3" xfId="24954"/>
    <cellStyle name="Obliczenia 2 28 34" xfId="24955"/>
    <cellStyle name="Obliczenia 2 28 34 2" xfId="24956"/>
    <cellStyle name="Obliczenia 2 28 34 3" xfId="24957"/>
    <cellStyle name="Obliczenia 2 28 35" xfId="24958"/>
    <cellStyle name="Obliczenia 2 28 35 2" xfId="24959"/>
    <cellStyle name="Obliczenia 2 28 35 3" xfId="24960"/>
    <cellStyle name="Obliczenia 2 28 36" xfId="24961"/>
    <cellStyle name="Obliczenia 2 28 36 2" xfId="24962"/>
    <cellStyle name="Obliczenia 2 28 36 3" xfId="24963"/>
    <cellStyle name="Obliczenia 2 28 37" xfId="24964"/>
    <cellStyle name="Obliczenia 2 28 37 2" xfId="24965"/>
    <cellStyle name="Obliczenia 2 28 37 3" xfId="24966"/>
    <cellStyle name="Obliczenia 2 28 38" xfId="24967"/>
    <cellStyle name="Obliczenia 2 28 38 2" xfId="24968"/>
    <cellStyle name="Obliczenia 2 28 38 3" xfId="24969"/>
    <cellStyle name="Obliczenia 2 28 39" xfId="24970"/>
    <cellStyle name="Obliczenia 2 28 39 2" xfId="24971"/>
    <cellStyle name="Obliczenia 2 28 39 3" xfId="24972"/>
    <cellStyle name="Obliczenia 2 28 4" xfId="24973"/>
    <cellStyle name="Obliczenia 2 28 4 2" xfId="24974"/>
    <cellStyle name="Obliczenia 2 28 4 3" xfId="24975"/>
    <cellStyle name="Obliczenia 2 28 4 4" xfId="24976"/>
    <cellStyle name="Obliczenia 2 28 40" xfId="24977"/>
    <cellStyle name="Obliczenia 2 28 40 2" xfId="24978"/>
    <cellStyle name="Obliczenia 2 28 40 3" xfId="24979"/>
    <cellStyle name="Obliczenia 2 28 41" xfId="24980"/>
    <cellStyle name="Obliczenia 2 28 41 2" xfId="24981"/>
    <cellStyle name="Obliczenia 2 28 41 3" xfId="24982"/>
    <cellStyle name="Obliczenia 2 28 42" xfId="24983"/>
    <cellStyle name="Obliczenia 2 28 42 2" xfId="24984"/>
    <cellStyle name="Obliczenia 2 28 42 3" xfId="24985"/>
    <cellStyle name="Obliczenia 2 28 43" xfId="24986"/>
    <cellStyle name="Obliczenia 2 28 43 2" xfId="24987"/>
    <cellStyle name="Obliczenia 2 28 43 3" xfId="24988"/>
    <cellStyle name="Obliczenia 2 28 44" xfId="24989"/>
    <cellStyle name="Obliczenia 2 28 44 2" xfId="24990"/>
    <cellStyle name="Obliczenia 2 28 44 3" xfId="24991"/>
    <cellStyle name="Obliczenia 2 28 45" xfId="24992"/>
    <cellStyle name="Obliczenia 2 28 45 2" xfId="24993"/>
    <cellStyle name="Obliczenia 2 28 45 3" xfId="24994"/>
    <cellStyle name="Obliczenia 2 28 46" xfId="24995"/>
    <cellStyle name="Obliczenia 2 28 46 2" xfId="24996"/>
    <cellStyle name="Obliczenia 2 28 46 3" xfId="24997"/>
    <cellStyle name="Obliczenia 2 28 47" xfId="24998"/>
    <cellStyle name="Obliczenia 2 28 47 2" xfId="24999"/>
    <cellStyle name="Obliczenia 2 28 47 3" xfId="25000"/>
    <cellStyle name="Obliczenia 2 28 48" xfId="25001"/>
    <cellStyle name="Obliczenia 2 28 48 2" xfId="25002"/>
    <cellStyle name="Obliczenia 2 28 48 3" xfId="25003"/>
    <cellStyle name="Obliczenia 2 28 49" xfId="25004"/>
    <cellStyle name="Obliczenia 2 28 49 2" xfId="25005"/>
    <cellStyle name="Obliczenia 2 28 49 3" xfId="25006"/>
    <cellStyle name="Obliczenia 2 28 5" xfId="25007"/>
    <cellStyle name="Obliczenia 2 28 5 2" xfId="25008"/>
    <cellStyle name="Obliczenia 2 28 5 3" xfId="25009"/>
    <cellStyle name="Obliczenia 2 28 5 4" xfId="25010"/>
    <cellStyle name="Obliczenia 2 28 50" xfId="25011"/>
    <cellStyle name="Obliczenia 2 28 50 2" xfId="25012"/>
    <cellStyle name="Obliczenia 2 28 50 3" xfId="25013"/>
    <cellStyle name="Obliczenia 2 28 51" xfId="25014"/>
    <cellStyle name="Obliczenia 2 28 51 2" xfId="25015"/>
    <cellStyle name="Obliczenia 2 28 51 3" xfId="25016"/>
    <cellStyle name="Obliczenia 2 28 52" xfId="25017"/>
    <cellStyle name="Obliczenia 2 28 52 2" xfId="25018"/>
    <cellStyle name="Obliczenia 2 28 52 3" xfId="25019"/>
    <cellStyle name="Obliczenia 2 28 53" xfId="25020"/>
    <cellStyle name="Obliczenia 2 28 53 2" xfId="25021"/>
    <cellStyle name="Obliczenia 2 28 53 3" xfId="25022"/>
    <cellStyle name="Obliczenia 2 28 54" xfId="25023"/>
    <cellStyle name="Obliczenia 2 28 54 2" xfId="25024"/>
    <cellStyle name="Obliczenia 2 28 54 3" xfId="25025"/>
    <cellStyle name="Obliczenia 2 28 55" xfId="25026"/>
    <cellStyle name="Obliczenia 2 28 55 2" xfId="25027"/>
    <cellStyle name="Obliczenia 2 28 55 3" xfId="25028"/>
    <cellStyle name="Obliczenia 2 28 56" xfId="25029"/>
    <cellStyle name="Obliczenia 2 28 56 2" xfId="25030"/>
    <cellStyle name="Obliczenia 2 28 56 3" xfId="25031"/>
    <cellStyle name="Obliczenia 2 28 57" xfId="25032"/>
    <cellStyle name="Obliczenia 2 28 58" xfId="25033"/>
    <cellStyle name="Obliczenia 2 28 6" xfId="25034"/>
    <cellStyle name="Obliczenia 2 28 6 2" xfId="25035"/>
    <cellStyle name="Obliczenia 2 28 6 3" xfId="25036"/>
    <cellStyle name="Obliczenia 2 28 6 4" xfId="25037"/>
    <cellStyle name="Obliczenia 2 28 7" xfId="25038"/>
    <cellStyle name="Obliczenia 2 28 7 2" xfId="25039"/>
    <cellStyle name="Obliczenia 2 28 7 3" xfId="25040"/>
    <cellStyle name="Obliczenia 2 28 7 4" xfId="25041"/>
    <cellStyle name="Obliczenia 2 28 8" xfId="25042"/>
    <cellStyle name="Obliczenia 2 28 8 2" xfId="25043"/>
    <cellStyle name="Obliczenia 2 28 8 3" xfId="25044"/>
    <cellStyle name="Obliczenia 2 28 8 4" xfId="25045"/>
    <cellStyle name="Obliczenia 2 28 9" xfId="25046"/>
    <cellStyle name="Obliczenia 2 28 9 2" xfId="25047"/>
    <cellStyle name="Obliczenia 2 28 9 3" xfId="25048"/>
    <cellStyle name="Obliczenia 2 28 9 4" xfId="25049"/>
    <cellStyle name="Obliczenia 2 29" xfId="25050"/>
    <cellStyle name="Obliczenia 2 29 2" xfId="25051"/>
    <cellStyle name="Obliczenia 2 29 3" xfId="25052"/>
    <cellStyle name="Obliczenia 2 29 4" xfId="25053"/>
    <cellStyle name="Obliczenia 2 3" xfId="25054"/>
    <cellStyle name="Obliczenia 2 3 10" xfId="25055"/>
    <cellStyle name="Obliczenia 2 3 10 2" xfId="25056"/>
    <cellStyle name="Obliczenia 2 3 10 3" xfId="25057"/>
    <cellStyle name="Obliczenia 2 3 10 4" xfId="25058"/>
    <cellStyle name="Obliczenia 2 3 11" xfId="25059"/>
    <cellStyle name="Obliczenia 2 3 11 2" xfId="25060"/>
    <cellStyle name="Obliczenia 2 3 11 3" xfId="25061"/>
    <cellStyle name="Obliczenia 2 3 11 4" xfId="25062"/>
    <cellStyle name="Obliczenia 2 3 12" xfId="25063"/>
    <cellStyle name="Obliczenia 2 3 12 2" xfId="25064"/>
    <cellStyle name="Obliczenia 2 3 12 3" xfId="25065"/>
    <cellStyle name="Obliczenia 2 3 12 4" xfId="25066"/>
    <cellStyle name="Obliczenia 2 3 13" xfId="25067"/>
    <cellStyle name="Obliczenia 2 3 13 2" xfId="25068"/>
    <cellStyle name="Obliczenia 2 3 13 3" xfId="25069"/>
    <cellStyle name="Obliczenia 2 3 13 4" xfId="25070"/>
    <cellStyle name="Obliczenia 2 3 14" xfId="25071"/>
    <cellStyle name="Obliczenia 2 3 14 2" xfId="25072"/>
    <cellStyle name="Obliczenia 2 3 14 3" xfId="25073"/>
    <cellStyle name="Obliczenia 2 3 14 4" xfId="25074"/>
    <cellStyle name="Obliczenia 2 3 15" xfId="25075"/>
    <cellStyle name="Obliczenia 2 3 15 2" xfId="25076"/>
    <cellStyle name="Obliczenia 2 3 15 3" xfId="25077"/>
    <cellStyle name="Obliczenia 2 3 15 4" xfId="25078"/>
    <cellStyle name="Obliczenia 2 3 16" xfId="25079"/>
    <cellStyle name="Obliczenia 2 3 16 2" xfId="25080"/>
    <cellStyle name="Obliczenia 2 3 16 3" xfId="25081"/>
    <cellStyle name="Obliczenia 2 3 16 4" xfId="25082"/>
    <cellStyle name="Obliczenia 2 3 17" xfId="25083"/>
    <cellStyle name="Obliczenia 2 3 17 2" xfId="25084"/>
    <cellStyle name="Obliczenia 2 3 17 3" xfId="25085"/>
    <cellStyle name="Obliczenia 2 3 17 4" xfId="25086"/>
    <cellStyle name="Obliczenia 2 3 18" xfId="25087"/>
    <cellStyle name="Obliczenia 2 3 18 2" xfId="25088"/>
    <cellStyle name="Obliczenia 2 3 18 3" xfId="25089"/>
    <cellStyle name="Obliczenia 2 3 18 4" xfId="25090"/>
    <cellStyle name="Obliczenia 2 3 19" xfId="25091"/>
    <cellStyle name="Obliczenia 2 3 19 2" xfId="25092"/>
    <cellStyle name="Obliczenia 2 3 19 3" xfId="25093"/>
    <cellStyle name="Obliczenia 2 3 19 4" xfId="25094"/>
    <cellStyle name="Obliczenia 2 3 2" xfId="25095"/>
    <cellStyle name="Obliczenia 2 3 2 2" xfId="25096"/>
    <cellStyle name="Obliczenia 2 3 2 3" xfId="25097"/>
    <cellStyle name="Obliczenia 2 3 2 4" xfId="25098"/>
    <cellStyle name="Obliczenia 2 3 20" xfId="25099"/>
    <cellStyle name="Obliczenia 2 3 20 2" xfId="25100"/>
    <cellStyle name="Obliczenia 2 3 20 3" xfId="25101"/>
    <cellStyle name="Obliczenia 2 3 20 4" xfId="25102"/>
    <cellStyle name="Obliczenia 2 3 21" xfId="25103"/>
    <cellStyle name="Obliczenia 2 3 21 2" xfId="25104"/>
    <cellStyle name="Obliczenia 2 3 21 3" xfId="25105"/>
    <cellStyle name="Obliczenia 2 3 22" xfId="25106"/>
    <cellStyle name="Obliczenia 2 3 22 2" xfId="25107"/>
    <cellStyle name="Obliczenia 2 3 22 3" xfId="25108"/>
    <cellStyle name="Obliczenia 2 3 23" xfId="25109"/>
    <cellStyle name="Obliczenia 2 3 23 2" xfId="25110"/>
    <cellStyle name="Obliczenia 2 3 23 3" xfId="25111"/>
    <cellStyle name="Obliczenia 2 3 24" xfId="25112"/>
    <cellStyle name="Obliczenia 2 3 24 2" xfId="25113"/>
    <cellStyle name="Obliczenia 2 3 24 3" xfId="25114"/>
    <cellStyle name="Obliczenia 2 3 25" xfId="25115"/>
    <cellStyle name="Obliczenia 2 3 25 2" xfId="25116"/>
    <cellStyle name="Obliczenia 2 3 25 3" xfId="25117"/>
    <cellStyle name="Obliczenia 2 3 26" xfId="25118"/>
    <cellStyle name="Obliczenia 2 3 26 2" xfId="25119"/>
    <cellStyle name="Obliczenia 2 3 26 3" xfId="25120"/>
    <cellStyle name="Obliczenia 2 3 27" xfId="25121"/>
    <cellStyle name="Obliczenia 2 3 27 2" xfId="25122"/>
    <cellStyle name="Obliczenia 2 3 27 3" xfId="25123"/>
    <cellStyle name="Obliczenia 2 3 28" xfId="25124"/>
    <cellStyle name="Obliczenia 2 3 28 2" xfId="25125"/>
    <cellStyle name="Obliczenia 2 3 28 3" xfId="25126"/>
    <cellStyle name="Obliczenia 2 3 29" xfId="25127"/>
    <cellStyle name="Obliczenia 2 3 29 2" xfId="25128"/>
    <cellStyle name="Obliczenia 2 3 29 3" xfId="25129"/>
    <cellStyle name="Obliczenia 2 3 3" xfId="25130"/>
    <cellStyle name="Obliczenia 2 3 3 2" xfId="25131"/>
    <cellStyle name="Obliczenia 2 3 3 3" xfId="25132"/>
    <cellStyle name="Obliczenia 2 3 3 4" xfId="25133"/>
    <cellStyle name="Obliczenia 2 3 30" xfId="25134"/>
    <cellStyle name="Obliczenia 2 3 30 2" xfId="25135"/>
    <cellStyle name="Obliczenia 2 3 30 3" xfId="25136"/>
    <cellStyle name="Obliczenia 2 3 31" xfId="25137"/>
    <cellStyle name="Obliczenia 2 3 31 2" xfId="25138"/>
    <cellStyle name="Obliczenia 2 3 31 3" xfId="25139"/>
    <cellStyle name="Obliczenia 2 3 32" xfId="25140"/>
    <cellStyle name="Obliczenia 2 3 32 2" xfId="25141"/>
    <cellStyle name="Obliczenia 2 3 32 3" xfId="25142"/>
    <cellStyle name="Obliczenia 2 3 33" xfId="25143"/>
    <cellStyle name="Obliczenia 2 3 33 2" xfId="25144"/>
    <cellStyle name="Obliczenia 2 3 33 3" xfId="25145"/>
    <cellStyle name="Obliczenia 2 3 34" xfId="25146"/>
    <cellStyle name="Obliczenia 2 3 34 2" xfId="25147"/>
    <cellStyle name="Obliczenia 2 3 34 3" xfId="25148"/>
    <cellStyle name="Obliczenia 2 3 35" xfId="25149"/>
    <cellStyle name="Obliczenia 2 3 35 2" xfId="25150"/>
    <cellStyle name="Obliczenia 2 3 35 3" xfId="25151"/>
    <cellStyle name="Obliczenia 2 3 36" xfId="25152"/>
    <cellStyle name="Obliczenia 2 3 36 2" xfId="25153"/>
    <cellStyle name="Obliczenia 2 3 36 3" xfId="25154"/>
    <cellStyle name="Obliczenia 2 3 37" xfId="25155"/>
    <cellStyle name="Obliczenia 2 3 37 2" xfId="25156"/>
    <cellStyle name="Obliczenia 2 3 37 3" xfId="25157"/>
    <cellStyle name="Obliczenia 2 3 38" xfId="25158"/>
    <cellStyle name="Obliczenia 2 3 38 2" xfId="25159"/>
    <cellStyle name="Obliczenia 2 3 38 3" xfId="25160"/>
    <cellStyle name="Obliczenia 2 3 39" xfId="25161"/>
    <cellStyle name="Obliczenia 2 3 39 2" xfId="25162"/>
    <cellStyle name="Obliczenia 2 3 39 3" xfId="25163"/>
    <cellStyle name="Obliczenia 2 3 4" xfId="25164"/>
    <cellStyle name="Obliczenia 2 3 4 2" xfId="25165"/>
    <cellStyle name="Obliczenia 2 3 4 3" xfId="25166"/>
    <cellStyle name="Obliczenia 2 3 4 4" xfId="25167"/>
    <cellStyle name="Obliczenia 2 3 40" xfId="25168"/>
    <cellStyle name="Obliczenia 2 3 40 2" xfId="25169"/>
    <cellStyle name="Obliczenia 2 3 40 3" xfId="25170"/>
    <cellStyle name="Obliczenia 2 3 41" xfId="25171"/>
    <cellStyle name="Obliczenia 2 3 41 2" xfId="25172"/>
    <cellStyle name="Obliczenia 2 3 41 3" xfId="25173"/>
    <cellStyle name="Obliczenia 2 3 42" xfId="25174"/>
    <cellStyle name="Obliczenia 2 3 42 2" xfId="25175"/>
    <cellStyle name="Obliczenia 2 3 42 3" xfId="25176"/>
    <cellStyle name="Obliczenia 2 3 43" xfId="25177"/>
    <cellStyle name="Obliczenia 2 3 43 2" xfId="25178"/>
    <cellStyle name="Obliczenia 2 3 43 3" xfId="25179"/>
    <cellStyle name="Obliczenia 2 3 44" xfId="25180"/>
    <cellStyle name="Obliczenia 2 3 44 2" xfId="25181"/>
    <cellStyle name="Obliczenia 2 3 44 3" xfId="25182"/>
    <cellStyle name="Obliczenia 2 3 45" xfId="25183"/>
    <cellStyle name="Obliczenia 2 3 45 2" xfId="25184"/>
    <cellStyle name="Obliczenia 2 3 45 3" xfId="25185"/>
    <cellStyle name="Obliczenia 2 3 46" xfId="25186"/>
    <cellStyle name="Obliczenia 2 3 46 2" xfId="25187"/>
    <cellStyle name="Obliczenia 2 3 46 3" xfId="25188"/>
    <cellStyle name="Obliczenia 2 3 47" xfId="25189"/>
    <cellStyle name="Obliczenia 2 3 47 2" xfId="25190"/>
    <cellStyle name="Obliczenia 2 3 47 3" xfId="25191"/>
    <cellStyle name="Obliczenia 2 3 48" xfId="25192"/>
    <cellStyle name="Obliczenia 2 3 48 2" xfId="25193"/>
    <cellStyle name="Obliczenia 2 3 48 3" xfId="25194"/>
    <cellStyle name="Obliczenia 2 3 49" xfId="25195"/>
    <cellStyle name="Obliczenia 2 3 49 2" xfId="25196"/>
    <cellStyle name="Obliczenia 2 3 49 3" xfId="25197"/>
    <cellStyle name="Obliczenia 2 3 5" xfId="25198"/>
    <cellStyle name="Obliczenia 2 3 5 2" xfId="25199"/>
    <cellStyle name="Obliczenia 2 3 5 3" xfId="25200"/>
    <cellStyle name="Obliczenia 2 3 5 4" xfId="25201"/>
    <cellStyle name="Obliczenia 2 3 50" xfId="25202"/>
    <cellStyle name="Obliczenia 2 3 50 2" xfId="25203"/>
    <cellStyle name="Obliczenia 2 3 50 3" xfId="25204"/>
    <cellStyle name="Obliczenia 2 3 51" xfId="25205"/>
    <cellStyle name="Obliczenia 2 3 51 2" xfId="25206"/>
    <cellStyle name="Obliczenia 2 3 51 3" xfId="25207"/>
    <cellStyle name="Obliczenia 2 3 52" xfId="25208"/>
    <cellStyle name="Obliczenia 2 3 52 2" xfId="25209"/>
    <cellStyle name="Obliczenia 2 3 52 3" xfId="25210"/>
    <cellStyle name="Obliczenia 2 3 53" xfId="25211"/>
    <cellStyle name="Obliczenia 2 3 53 2" xfId="25212"/>
    <cellStyle name="Obliczenia 2 3 53 3" xfId="25213"/>
    <cellStyle name="Obliczenia 2 3 54" xfId="25214"/>
    <cellStyle name="Obliczenia 2 3 54 2" xfId="25215"/>
    <cellStyle name="Obliczenia 2 3 54 3" xfId="25216"/>
    <cellStyle name="Obliczenia 2 3 55" xfId="25217"/>
    <cellStyle name="Obliczenia 2 3 55 2" xfId="25218"/>
    <cellStyle name="Obliczenia 2 3 55 3" xfId="25219"/>
    <cellStyle name="Obliczenia 2 3 56" xfId="25220"/>
    <cellStyle name="Obliczenia 2 3 56 2" xfId="25221"/>
    <cellStyle name="Obliczenia 2 3 56 3" xfId="25222"/>
    <cellStyle name="Obliczenia 2 3 57" xfId="25223"/>
    <cellStyle name="Obliczenia 2 3 58" xfId="25224"/>
    <cellStyle name="Obliczenia 2 3 6" xfId="25225"/>
    <cellStyle name="Obliczenia 2 3 6 2" xfId="25226"/>
    <cellStyle name="Obliczenia 2 3 6 3" xfId="25227"/>
    <cellStyle name="Obliczenia 2 3 6 4" xfId="25228"/>
    <cellStyle name="Obliczenia 2 3 7" xfId="25229"/>
    <cellStyle name="Obliczenia 2 3 7 2" xfId="25230"/>
    <cellStyle name="Obliczenia 2 3 7 3" xfId="25231"/>
    <cellStyle name="Obliczenia 2 3 7 4" xfId="25232"/>
    <cellStyle name="Obliczenia 2 3 8" xfId="25233"/>
    <cellStyle name="Obliczenia 2 3 8 2" xfId="25234"/>
    <cellStyle name="Obliczenia 2 3 8 3" xfId="25235"/>
    <cellStyle name="Obliczenia 2 3 8 4" xfId="25236"/>
    <cellStyle name="Obliczenia 2 3 9" xfId="25237"/>
    <cellStyle name="Obliczenia 2 3 9 2" xfId="25238"/>
    <cellStyle name="Obliczenia 2 3 9 3" xfId="25239"/>
    <cellStyle name="Obliczenia 2 3 9 4" xfId="25240"/>
    <cellStyle name="Obliczenia 2 30" xfId="25241"/>
    <cellStyle name="Obliczenia 2 30 2" xfId="25242"/>
    <cellStyle name="Obliczenia 2 30 3" xfId="25243"/>
    <cellStyle name="Obliczenia 2 30 4" xfId="25244"/>
    <cellStyle name="Obliczenia 2 31" xfId="25245"/>
    <cellStyle name="Obliczenia 2 31 2" xfId="25246"/>
    <cellStyle name="Obliczenia 2 31 3" xfId="25247"/>
    <cellStyle name="Obliczenia 2 31 4" xfId="25248"/>
    <cellStyle name="Obliczenia 2 32" xfId="25249"/>
    <cellStyle name="Obliczenia 2 32 2" xfId="25250"/>
    <cellStyle name="Obliczenia 2 32 3" xfId="25251"/>
    <cellStyle name="Obliczenia 2 32 4" xfId="25252"/>
    <cellStyle name="Obliczenia 2 33" xfId="25253"/>
    <cellStyle name="Obliczenia 2 33 2" xfId="25254"/>
    <cellStyle name="Obliczenia 2 33 3" xfId="25255"/>
    <cellStyle name="Obliczenia 2 33 4" xfId="25256"/>
    <cellStyle name="Obliczenia 2 34" xfId="25257"/>
    <cellStyle name="Obliczenia 2 34 2" xfId="25258"/>
    <cellStyle name="Obliczenia 2 34 3" xfId="25259"/>
    <cellStyle name="Obliczenia 2 34 4" xfId="25260"/>
    <cellStyle name="Obliczenia 2 35" xfId="25261"/>
    <cellStyle name="Obliczenia 2 35 2" xfId="25262"/>
    <cellStyle name="Obliczenia 2 35 3" xfId="25263"/>
    <cellStyle name="Obliczenia 2 35 4" xfId="25264"/>
    <cellStyle name="Obliczenia 2 36" xfId="25265"/>
    <cellStyle name="Obliczenia 2 36 2" xfId="25266"/>
    <cellStyle name="Obliczenia 2 36 3" xfId="25267"/>
    <cellStyle name="Obliczenia 2 36 4" xfId="25268"/>
    <cellStyle name="Obliczenia 2 37" xfId="25269"/>
    <cellStyle name="Obliczenia 2 37 2" xfId="25270"/>
    <cellStyle name="Obliczenia 2 37 3" xfId="25271"/>
    <cellStyle name="Obliczenia 2 37 4" xfId="25272"/>
    <cellStyle name="Obliczenia 2 38" xfId="25273"/>
    <cellStyle name="Obliczenia 2 38 2" xfId="25274"/>
    <cellStyle name="Obliczenia 2 38 3" xfId="25275"/>
    <cellStyle name="Obliczenia 2 38 4" xfId="25276"/>
    <cellStyle name="Obliczenia 2 39" xfId="25277"/>
    <cellStyle name="Obliczenia 2 39 2" xfId="25278"/>
    <cellStyle name="Obliczenia 2 39 3" xfId="25279"/>
    <cellStyle name="Obliczenia 2 39 4" xfId="25280"/>
    <cellStyle name="Obliczenia 2 4" xfId="25281"/>
    <cellStyle name="Obliczenia 2 4 10" xfId="25282"/>
    <cellStyle name="Obliczenia 2 4 10 2" xfId="25283"/>
    <cellStyle name="Obliczenia 2 4 10 3" xfId="25284"/>
    <cellStyle name="Obliczenia 2 4 10 4" xfId="25285"/>
    <cellStyle name="Obliczenia 2 4 11" xfId="25286"/>
    <cellStyle name="Obliczenia 2 4 11 2" xfId="25287"/>
    <cellStyle name="Obliczenia 2 4 11 3" xfId="25288"/>
    <cellStyle name="Obliczenia 2 4 11 4" xfId="25289"/>
    <cellStyle name="Obliczenia 2 4 12" xfId="25290"/>
    <cellStyle name="Obliczenia 2 4 12 2" xfId="25291"/>
    <cellStyle name="Obliczenia 2 4 12 3" xfId="25292"/>
    <cellStyle name="Obliczenia 2 4 12 4" xfId="25293"/>
    <cellStyle name="Obliczenia 2 4 13" xfId="25294"/>
    <cellStyle name="Obliczenia 2 4 13 2" xfId="25295"/>
    <cellStyle name="Obliczenia 2 4 13 3" xfId="25296"/>
    <cellStyle name="Obliczenia 2 4 13 4" xfId="25297"/>
    <cellStyle name="Obliczenia 2 4 14" xfId="25298"/>
    <cellStyle name="Obliczenia 2 4 14 2" xfId="25299"/>
    <cellStyle name="Obliczenia 2 4 14 3" xfId="25300"/>
    <cellStyle name="Obliczenia 2 4 14 4" xfId="25301"/>
    <cellStyle name="Obliczenia 2 4 15" xfId="25302"/>
    <cellStyle name="Obliczenia 2 4 15 2" xfId="25303"/>
    <cellStyle name="Obliczenia 2 4 15 3" xfId="25304"/>
    <cellStyle name="Obliczenia 2 4 15 4" xfId="25305"/>
    <cellStyle name="Obliczenia 2 4 16" xfId="25306"/>
    <cellStyle name="Obliczenia 2 4 16 2" xfId="25307"/>
    <cellStyle name="Obliczenia 2 4 16 3" xfId="25308"/>
    <cellStyle name="Obliczenia 2 4 16 4" xfId="25309"/>
    <cellStyle name="Obliczenia 2 4 17" xfId="25310"/>
    <cellStyle name="Obliczenia 2 4 17 2" xfId="25311"/>
    <cellStyle name="Obliczenia 2 4 17 3" xfId="25312"/>
    <cellStyle name="Obliczenia 2 4 17 4" xfId="25313"/>
    <cellStyle name="Obliczenia 2 4 18" xfId="25314"/>
    <cellStyle name="Obliczenia 2 4 18 2" xfId="25315"/>
    <cellStyle name="Obliczenia 2 4 18 3" xfId="25316"/>
    <cellStyle name="Obliczenia 2 4 18 4" xfId="25317"/>
    <cellStyle name="Obliczenia 2 4 19" xfId="25318"/>
    <cellStyle name="Obliczenia 2 4 19 2" xfId="25319"/>
    <cellStyle name="Obliczenia 2 4 19 3" xfId="25320"/>
    <cellStyle name="Obliczenia 2 4 19 4" xfId="25321"/>
    <cellStyle name="Obliczenia 2 4 2" xfId="25322"/>
    <cellStyle name="Obliczenia 2 4 2 2" xfId="25323"/>
    <cellStyle name="Obliczenia 2 4 2 3" xfId="25324"/>
    <cellStyle name="Obliczenia 2 4 2 4" xfId="25325"/>
    <cellStyle name="Obliczenia 2 4 20" xfId="25326"/>
    <cellStyle name="Obliczenia 2 4 20 2" xfId="25327"/>
    <cellStyle name="Obliczenia 2 4 20 3" xfId="25328"/>
    <cellStyle name="Obliczenia 2 4 20 4" xfId="25329"/>
    <cellStyle name="Obliczenia 2 4 21" xfId="25330"/>
    <cellStyle name="Obliczenia 2 4 21 2" xfId="25331"/>
    <cellStyle name="Obliczenia 2 4 21 3" xfId="25332"/>
    <cellStyle name="Obliczenia 2 4 22" xfId="25333"/>
    <cellStyle name="Obliczenia 2 4 22 2" xfId="25334"/>
    <cellStyle name="Obliczenia 2 4 22 3" xfId="25335"/>
    <cellStyle name="Obliczenia 2 4 23" xfId="25336"/>
    <cellStyle name="Obliczenia 2 4 23 2" xfId="25337"/>
    <cellStyle name="Obliczenia 2 4 23 3" xfId="25338"/>
    <cellStyle name="Obliczenia 2 4 24" xfId="25339"/>
    <cellStyle name="Obliczenia 2 4 24 2" xfId="25340"/>
    <cellStyle name="Obliczenia 2 4 24 3" xfId="25341"/>
    <cellStyle name="Obliczenia 2 4 25" xfId="25342"/>
    <cellStyle name="Obliczenia 2 4 25 2" xfId="25343"/>
    <cellStyle name="Obliczenia 2 4 25 3" xfId="25344"/>
    <cellStyle name="Obliczenia 2 4 26" xfId="25345"/>
    <cellStyle name="Obliczenia 2 4 26 2" xfId="25346"/>
    <cellStyle name="Obliczenia 2 4 26 3" xfId="25347"/>
    <cellStyle name="Obliczenia 2 4 27" xfId="25348"/>
    <cellStyle name="Obliczenia 2 4 27 2" xfId="25349"/>
    <cellStyle name="Obliczenia 2 4 27 3" xfId="25350"/>
    <cellStyle name="Obliczenia 2 4 28" xfId="25351"/>
    <cellStyle name="Obliczenia 2 4 28 2" xfId="25352"/>
    <cellStyle name="Obliczenia 2 4 28 3" xfId="25353"/>
    <cellStyle name="Obliczenia 2 4 29" xfId="25354"/>
    <cellStyle name="Obliczenia 2 4 29 2" xfId="25355"/>
    <cellStyle name="Obliczenia 2 4 29 3" xfId="25356"/>
    <cellStyle name="Obliczenia 2 4 3" xfId="25357"/>
    <cellStyle name="Obliczenia 2 4 3 2" xfId="25358"/>
    <cellStyle name="Obliczenia 2 4 3 3" xfId="25359"/>
    <cellStyle name="Obliczenia 2 4 3 4" xfId="25360"/>
    <cellStyle name="Obliczenia 2 4 30" xfId="25361"/>
    <cellStyle name="Obliczenia 2 4 30 2" xfId="25362"/>
    <cellStyle name="Obliczenia 2 4 30 3" xfId="25363"/>
    <cellStyle name="Obliczenia 2 4 31" xfId="25364"/>
    <cellStyle name="Obliczenia 2 4 31 2" xfId="25365"/>
    <cellStyle name="Obliczenia 2 4 31 3" xfId="25366"/>
    <cellStyle name="Obliczenia 2 4 32" xfId="25367"/>
    <cellStyle name="Obliczenia 2 4 32 2" xfId="25368"/>
    <cellStyle name="Obliczenia 2 4 32 3" xfId="25369"/>
    <cellStyle name="Obliczenia 2 4 33" xfId="25370"/>
    <cellStyle name="Obliczenia 2 4 33 2" xfId="25371"/>
    <cellStyle name="Obliczenia 2 4 33 3" xfId="25372"/>
    <cellStyle name="Obliczenia 2 4 34" xfId="25373"/>
    <cellStyle name="Obliczenia 2 4 34 2" xfId="25374"/>
    <cellStyle name="Obliczenia 2 4 34 3" xfId="25375"/>
    <cellStyle name="Obliczenia 2 4 35" xfId="25376"/>
    <cellStyle name="Obliczenia 2 4 35 2" xfId="25377"/>
    <cellStyle name="Obliczenia 2 4 35 3" xfId="25378"/>
    <cellStyle name="Obliczenia 2 4 36" xfId="25379"/>
    <cellStyle name="Obliczenia 2 4 36 2" xfId="25380"/>
    <cellStyle name="Obliczenia 2 4 36 3" xfId="25381"/>
    <cellStyle name="Obliczenia 2 4 37" xfId="25382"/>
    <cellStyle name="Obliczenia 2 4 37 2" xfId="25383"/>
    <cellStyle name="Obliczenia 2 4 37 3" xfId="25384"/>
    <cellStyle name="Obliczenia 2 4 38" xfId="25385"/>
    <cellStyle name="Obliczenia 2 4 38 2" xfId="25386"/>
    <cellStyle name="Obliczenia 2 4 38 3" xfId="25387"/>
    <cellStyle name="Obliczenia 2 4 39" xfId="25388"/>
    <cellStyle name="Obliczenia 2 4 39 2" xfId="25389"/>
    <cellStyle name="Obliczenia 2 4 39 3" xfId="25390"/>
    <cellStyle name="Obliczenia 2 4 4" xfId="25391"/>
    <cellStyle name="Obliczenia 2 4 4 2" xfId="25392"/>
    <cellStyle name="Obliczenia 2 4 4 3" xfId="25393"/>
    <cellStyle name="Obliczenia 2 4 4 4" xfId="25394"/>
    <cellStyle name="Obliczenia 2 4 40" xfId="25395"/>
    <cellStyle name="Obliczenia 2 4 40 2" xfId="25396"/>
    <cellStyle name="Obliczenia 2 4 40 3" xfId="25397"/>
    <cellStyle name="Obliczenia 2 4 41" xfId="25398"/>
    <cellStyle name="Obliczenia 2 4 41 2" xfId="25399"/>
    <cellStyle name="Obliczenia 2 4 41 3" xfId="25400"/>
    <cellStyle name="Obliczenia 2 4 42" xfId="25401"/>
    <cellStyle name="Obliczenia 2 4 42 2" xfId="25402"/>
    <cellStyle name="Obliczenia 2 4 42 3" xfId="25403"/>
    <cellStyle name="Obliczenia 2 4 43" xfId="25404"/>
    <cellStyle name="Obliczenia 2 4 43 2" xfId="25405"/>
    <cellStyle name="Obliczenia 2 4 43 3" xfId="25406"/>
    <cellStyle name="Obliczenia 2 4 44" xfId="25407"/>
    <cellStyle name="Obliczenia 2 4 44 2" xfId="25408"/>
    <cellStyle name="Obliczenia 2 4 44 3" xfId="25409"/>
    <cellStyle name="Obliczenia 2 4 45" xfId="25410"/>
    <cellStyle name="Obliczenia 2 4 45 2" xfId="25411"/>
    <cellStyle name="Obliczenia 2 4 45 3" xfId="25412"/>
    <cellStyle name="Obliczenia 2 4 46" xfId="25413"/>
    <cellStyle name="Obliczenia 2 4 46 2" xfId="25414"/>
    <cellStyle name="Obliczenia 2 4 46 3" xfId="25415"/>
    <cellStyle name="Obliczenia 2 4 47" xfId="25416"/>
    <cellStyle name="Obliczenia 2 4 47 2" xfId="25417"/>
    <cellStyle name="Obliczenia 2 4 47 3" xfId="25418"/>
    <cellStyle name="Obliczenia 2 4 48" xfId="25419"/>
    <cellStyle name="Obliczenia 2 4 48 2" xfId="25420"/>
    <cellStyle name="Obliczenia 2 4 48 3" xfId="25421"/>
    <cellStyle name="Obliczenia 2 4 49" xfId="25422"/>
    <cellStyle name="Obliczenia 2 4 49 2" xfId="25423"/>
    <cellStyle name="Obliczenia 2 4 49 3" xfId="25424"/>
    <cellStyle name="Obliczenia 2 4 5" xfId="25425"/>
    <cellStyle name="Obliczenia 2 4 5 2" xfId="25426"/>
    <cellStyle name="Obliczenia 2 4 5 3" xfId="25427"/>
    <cellStyle name="Obliczenia 2 4 5 4" xfId="25428"/>
    <cellStyle name="Obliczenia 2 4 50" xfId="25429"/>
    <cellStyle name="Obliczenia 2 4 50 2" xfId="25430"/>
    <cellStyle name="Obliczenia 2 4 50 3" xfId="25431"/>
    <cellStyle name="Obliczenia 2 4 51" xfId="25432"/>
    <cellStyle name="Obliczenia 2 4 51 2" xfId="25433"/>
    <cellStyle name="Obliczenia 2 4 51 3" xfId="25434"/>
    <cellStyle name="Obliczenia 2 4 52" xfId="25435"/>
    <cellStyle name="Obliczenia 2 4 52 2" xfId="25436"/>
    <cellStyle name="Obliczenia 2 4 52 3" xfId="25437"/>
    <cellStyle name="Obliczenia 2 4 53" xfId="25438"/>
    <cellStyle name="Obliczenia 2 4 53 2" xfId="25439"/>
    <cellStyle name="Obliczenia 2 4 53 3" xfId="25440"/>
    <cellStyle name="Obliczenia 2 4 54" xfId="25441"/>
    <cellStyle name="Obliczenia 2 4 54 2" xfId="25442"/>
    <cellStyle name="Obliczenia 2 4 54 3" xfId="25443"/>
    <cellStyle name="Obliczenia 2 4 55" xfId="25444"/>
    <cellStyle name="Obliczenia 2 4 55 2" xfId="25445"/>
    <cellStyle name="Obliczenia 2 4 55 3" xfId="25446"/>
    <cellStyle name="Obliczenia 2 4 56" xfId="25447"/>
    <cellStyle name="Obliczenia 2 4 56 2" xfId="25448"/>
    <cellStyle name="Obliczenia 2 4 56 3" xfId="25449"/>
    <cellStyle name="Obliczenia 2 4 57" xfId="25450"/>
    <cellStyle name="Obliczenia 2 4 58" xfId="25451"/>
    <cellStyle name="Obliczenia 2 4 6" xfId="25452"/>
    <cellStyle name="Obliczenia 2 4 6 2" xfId="25453"/>
    <cellStyle name="Obliczenia 2 4 6 3" xfId="25454"/>
    <cellStyle name="Obliczenia 2 4 6 4" xfId="25455"/>
    <cellStyle name="Obliczenia 2 4 7" xfId="25456"/>
    <cellStyle name="Obliczenia 2 4 7 2" xfId="25457"/>
    <cellStyle name="Obliczenia 2 4 7 3" xfId="25458"/>
    <cellStyle name="Obliczenia 2 4 7 4" xfId="25459"/>
    <cellStyle name="Obliczenia 2 4 8" xfId="25460"/>
    <cellStyle name="Obliczenia 2 4 8 2" xfId="25461"/>
    <cellStyle name="Obliczenia 2 4 8 3" xfId="25462"/>
    <cellStyle name="Obliczenia 2 4 8 4" xfId="25463"/>
    <cellStyle name="Obliczenia 2 4 9" xfId="25464"/>
    <cellStyle name="Obliczenia 2 4 9 2" xfId="25465"/>
    <cellStyle name="Obliczenia 2 4 9 3" xfId="25466"/>
    <cellStyle name="Obliczenia 2 4 9 4" xfId="25467"/>
    <cellStyle name="Obliczenia 2 40" xfId="25468"/>
    <cellStyle name="Obliczenia 2 40 2" xfId="25469"/>
    <cellStyle name="Obliczenia 2 40 3" xfId="25470"/>
    <cellStyle name="Obliczenia 2 40 4" xfId="25471"/>
    <cellStyle name="Obliczenia 2 41" xfId="25472"/>
    <cellStyle name="Obliczenia 2 41 2" xfId="25473"/>
    <cellStyle name="Obliczenia 2 41 3" xfId="25474"/>
    <cellStyle name="Obliczenia 2 41 4" xfId="25475"/>
    <cellStyle name="Obliczenia 2 42" xfId="25476"/>
    <cellStyle name="Obliczenia 2 42 2" xfId="25477"/>
    <cellStyle name="Obliczenia 2 42 3" xfId="25478"/>
    <cellStyle name="Obliczenia 2 42 4" xfId="25479"/>
    <cellStyle name="Obliczenia 2 43" xfId="25480"/>
    <cellStyle name="Obliczenia 2 43 2" xfId="25481"/>
    <cellStyle name="Obliczenia 2 43 3" xfId="25482"/>
    <cellStyle name="Obliczenia 2 43 4" xfId="25483"/>
    <cellStyle name="Obliczenia 2 44" xfId="25484"/>
    <cellStyle name="Obliczenia 2 44 2" xfId="25485"/>
    <cellStyle name="Obliczenia 2 44 3" xfId="25486"/>
    <cellStyle name="Obliczenia 2 44 4" xfId="25487"/>
    <cellStyle name="Obliczenia 2 45" xfId="25488"/>
    <cellStyle name="Obliczenia 2 45 2" xfId="25489"/>
    <cellStyle name="Obliczenia 2 45 3" xfId="25490"/>
    <cellStyle name="Obliczenia 2 45 4" xfId="25491"/>
    <cellStyle name="Obliczenia 2 46" xfId="25492"/>
    <cellStyle name="Obliczenia 2 46 2" xfId="25493"/>
    <cellStyle name="Obliczenia 2 46 3" xfId="25494"/>
    <cellStyle name="Obliczenia 2 46 4" xfId="25495"/>
    <cellStyle name="Obliczenia 2 47" xfId="25496"/>
    <cellStyle name="Obliczenia 2 47 2" xfId="25497"/>
    <cellStyle name="Obliczenia 2 47 3" xfId="25498"/>
    <cellStyle name="Obliczenia 2 47 4" xfId="25499"/>
    <cellStyle name="Obliczenia 2 48" xfId="25500"/>
    <cellStyle name="Obliczenia 2 48 2" xfId="25501"/>
    <cellStyle name="Obliczenia 2 48 3" xfId="25502"/>
    <cellStyle name="Obliczenia 2 48 4" xfId="25503"/>
    <cellStyle name="Obliczenia 2 49" xfId="25504"/>
    <cellStyle name="Obliczenia 2 49 2" xfId="25505"/>
    <cellStyle name="Obliczenia 2 49 3" xfId="25506"/>
    <cellStyle name="Obliczenia 2 49 4" xfId="25507"/>
    <cellStyle name="Obliczenia 2 5" xfId="25508"/>
    <cellStyle name="Obliczenia 2 5 10" xfId="25509"/>
    <cellStyle name="Obliczenia 2 5 10 2" xfId="25510"/>
    <cellStyle name="Obliczenia 2 5 10 3" xfId="25511"/>
    <cellStyle name="Obliczenia 2 5 10 4" xfId="25512"/>
    <cellStyle name="Obliczenia 2 5 11" xfId="25513"/>
    <cellStyle name="Obliczenia 2 5 11 2" xfId="25514"/>
    <cellStyle name="Obliczenia 2 5 11 3" xfId="25515"/>
    <cellStyle name="Obliczenia 2 5 11 4" xfId="25516"/>
    <cellStyle name="Obliczenia 2 5 12" xfId="25517"/>
    <cellStyle name="Obliczenia 2 5 12 2" xfId="25518"/>
    <cellStyle name="Obliczenia 2 5 12 3" xfId="25519"/>
    <cellStyle name="Obliczenia 2 5 12 4" xfId="25520"/>
    <cellStyle name="Obliczenia 2 5 13" xfId="25521"/>
    <cellStyle name="Obliczenia 2 5 13 2" xfId="25522"/>
    <cellStyle name="Obliczenia 2 5 13 3" xfId="25523"/>
    <cellStyle name="Obliczenia 2 5 13 4" xfId="25524"/>
    <cellStyle name="Obliczenia 2 5 14" xfId="25525"/>
    <cellStyle name="Obliczenia 2 5 14 2" xfId="25526"/>
    <cellStyle name="Obliczenia 2 5 14 3" xfId="25527"/>
    <cellStyle name="Obliczenia 2 5 14 4" xfId="25528"/>
    <cellStyle name="Obliczenia 2 5 15" xfId="25529"/>
    <cellStyle name="Obliczenia 2 5 15 2" xfId="25530"/>
    <cellStyle name="Obliczenia 2 5 15 3" xfId="25531"/>
    <cellStyle name="Obliczenia 2 5 15 4" xfId="25532"/>
    <cellStyle name="Obliczenia 2 5 16" xfId="25533"/>
    <cellStyle name="Obliczenia 2 5 16 2" xfId="25534"/>
    <cellStyle name="Obliczenia 2 5 16 3" xfId="25535"/>
    <cellStyle name="Obliczenia 2 5 16 4" xfId="25536"/>
    <cellStyle name="Obliczenia 2 5 17" xfId="25537"/>
    <cellStyle name="Obliczenia 2 5 17 2" xfId="25538"/>
    <cellStyle name="Obliczenia 2 5 17 3" xfId="25539"/>
    <cellStyle name="Obliczenia 2 5 17 4" xfId="25540"/>
    <cellStyle name="Obliczenia 2 5 18" xfId="25541"/>
    <cellStyle name="Obliczenia 2 5 18 2" xfId="25542"/>
    <cellStyle name="Obliczenia 2 5 18 3" xfId="25543"/>
    <cellStyle name="Obliczenia 2 5 18 4" xfId="25544"/>
    <cellStyle name="Obliczenia 2 5 19" xfId="25545"/>
    <cellStyle name="Obliczenia 2 5 19 2" xfId="25546"/>
    <cellStyle name="Obliczenia 2 5 19 3" xfId="25547"/>
    <cellStyle name="Obliczenia 2 5 19 4" xfId="25548"/>
    <cellStyle name="Obliczenia 2 5 2" xfId="25549"/>
    <cellStyle name="Obliczenia 2 5 2 2" xfId="25550"/>
    <cellStyle name="Obliczenia 2 5 2 3" xfId="25551"/>
    <cellStyle name="Obliczenia 2 5 2 4" xfId="25552"/>
    <cellStyle name="Obliczenia 2 5 20" xfId="25553"/>
    <cellStyle name="Obliczenia 2 5 20 2" xfId="25554"/>
    <cellStyle name="Obliczenia 2 5 20 3" xfId="25555"/>
    <cellStyle name="Obliczenia 2 5 20 4" xfId="25556"/>
    <cellStyle name="Obliczenia 2 5 21" xfId="25557"/>
    <cellStyle name="Obliczenia 2 5 21 2" xfId="25558"/>
    <cellStyle name="Obliczenia 2 5 21 3" xfId="25559"/>
    <cellStyle name="Obliczenia 2 5 22" xfId="25560"/>
    <cellStyle name="Obliczenia 2 5 22 2" xfId="25561"/>
    <cellStyle name="Obliczenia 2 5 22 3" xfId="25562"/>
    <cellStyle name="Obliczenia 2 5 23" xfId="25563"/>
    <cellStyle name="Obliczenia 2 5 23 2" xfId="25564"/>
    <cellStyle name="Obliczenia 2 5 23 3" xfId="25565"/>
    <cellStyle name="Obliczenia 2 5 24" xfId="25566"/>
    <cellStyle name="Obliczenia 2 5 24 2" xfId="25567"/>
    <cellStyle name="Obliczenia 2 5 24 3" xfId="25568"/>
    <cellStyle name="Obliczenia 2 5 25" xfId="25569"/>
    <cellStyle name="Obliczenia 2 5 25 2" xfId="25570"/>
    <cellStyle name="Obliczenia 2 5 25 3" xfId="25571"/>
    <cellStyle name="Obliczenia 2 5 26" xfId="25572"/>
    <cellStyle name="Obliczenia 2 5 26 2" xfId="25573"/>
    <cellStyle name="Obliczenia 2 5 26 3" xfId="25574"/>
    <cellStyle name="Obliczenia 2 5 27" xfId="25575"/>
    <cellStyle name="Obliczenia 2 5 27 2" xfId="25576"/>
    <cellStyle name="Obliczenia 2 5 27 3" xfId="25577"/>
    <cellStyle name="Obliczenia 2 5 28" xfId="25578"/>
    <cellStyle name="Obliczenia 2 5 28 2" xfId="25579"/>
    <cellStyle name="Obliczenia 2 5 28 3" xfId="25580"/>
    <cellStyle name="Obliczenia 2 5 29" xfId="25581"/>
    <cellStyle name="Obliczenia 2 5 29 2" xfId="25582"/>
    <cellStyle name="Obliczenia 2 5 29 3" xfId="25583"/>
    <cellStyle name="Obliczenia 2 5 3" xfId="25584"/>
    <cellStyle name="Obliczenia 2 5 3 2" xfId="25585"/>
    <cellStyle name="Obliczenia 2 5 3 3" xfId="25586"/>
    <cellStyle name="Obliczenia 2 5 3 4" xfId="25587"/>
    <cellStyle name="Obliczenia 2 5 30" xfId="25588"/>
    <cellStyle name="Obliczenia 2 5 30 2" xfId="25589"/>
    <cellStyle name="Obliczenia 2 5 30 3" xfId="25590"/>
    <cellStyle name="Obliczenia 2 5 31" xfId="25591"/>
    <cellStyle name="Obliczenia 2 5 31 2" xfId="25592"/>
    <cellStyle name="Obliczenia 2 5 31 3" xfId="25593"/>
    <cellStyle name="Obliczenia 2 5 32" xfId="25594"/>
    <cellStyle name="Obliczenia 2 5 32 2" xfId="25595"/>
    <cellStyle name="Obliczenia 2 5 32 3" xfId="25596"/>
    <cellStyle name="Obliczenia 2 5 33" xfId="25597"/>
    <cellStyle name="Obliczenia 2 5 33 2" xfId="25598"/>
    <cellStyle name="Obliczenia 2 5 33 3" xfId="25599"/>
    <cellStyle name="Obliczenia 2 5 34" xfId="25600"/>
    <cellStyle name="Obliczenia 2 5 34 2" xfId="25601"/>
    <cellStyle name="Obliczenia 2 5 34 3" xfId="25602"/>
    <cellStyle name="Obliczenia 2 5 35" xfId="25603"/>
    <cellStyle name="Obliczenia 2 5 35 2" xfId="25604"/>
    <cellStyle name="Obliczenia 2 5 35 3" xfId="25605"/>
    <cellStyle name="Obliczenia 2 5 36" xfId="25606"/>
    <cellStyle name="Obliczenia 2 5 36 2" xfId="25607"/>
    <cellStyle name="Obliczenia 2 5 36 3" xfId="25608"/>
    <cellStyle name="Obliczenia 2 5 37" xfId="25609"/>
    <cellStyle name="Obliczenia 2 5 37 2" xfId="25610"/>
    <cellStyle name="Obliczenia 2 5 37 3" xfId="25611"/>
    <cellStyle name="Obliczenia 2 5 38" xfId="25612"/>
    <cellStyle name="Obliczenia 2 5 38 2" xfId="25613"/>
    <cellStyle name="Obliczenia 2 5 38 3" xfId="25614"/>
    <cellStyle name="Obliczenia 2 5 39" xfId="25615"/>
    <cellStyle name="Obliczenia 2 5 39 2" xfId="25616"/>
    <cellStyle name="Obliczenia 2 5 39 3" xfId="25617"/>
    <cellStyle name="Obliczenia 2 5 4" xfId="25618"/>
    <cellStyle name="Obliczenia 2 5 4 2" xfId="25619"/>
    <cellStyle name="Obliczenia 2 5 4 3" xfId="25620"/>
    <cellStyle name="Obliczenia 2 5 4 4" xfId="25621"/>
    <cellStyle name="Obliczenia 2 5 40" xfId="25622"/>
    <cellStyle name="Obliczenia 2 5 40 2" xfId="25623"/>
    <cellStyle name="Obliczenia 2 5 40 3" xfId="25624"/>
    <cellStyle name="Obliczenia 2 5 41" xfId="25625"/>
    <cellStyle name="Obliczenia 2 5 41 2" xfId="25626"/>
    <cellStyle name="Obliczenia 2 5 41 3" xfId="25627"/>
    <cellStyle name="Obliczenia 2 5 42" xfId="25628"/>
    <cellStyle name="Obliczenia 2 5 42 2" xfId="25629"/>
    <cellStyle name="Obliczenia 2 5 42 3" xfId="25630"/>
    <cellStyle name="Obliczenia 2 5 43" xfId="25631"/>
    <cellStyle name="Obliczenia 2 5 43 2" xfId="25632"/>
    <cellStyle name="Obliczenia 2 5 43 3" xfId="25633"/>
    <cellStyle name="Obliczenia 2 5 44" xfId="25634"/>
    <cellStyle name="Obliczenia 2 5 44 2" xfId="25635"/>
    <cellStyle name="Obliczenia 2 5 44 3" xfId="25636"/>
    <cellStyle name="Obliczenia 2 5 45" xfId="25637"/>
    <cellStyle name="Obliczenia 2 5 45 2" xfId="25638"/>
    <cellStyle name="Obliczenia 2 5 45 3" xfId="25639"/>
    <cellStyle name="Obliczenia 2 5 46" xfId="25640"/>
    <cellStyle name="Obliczenia 2 5 46 2" xfId="25641"/>
    <cellStyle name="Obliczenia 2 5 46 3" xfId="25642"/>
    <cellStyle name="Obliczenia 2 5 47" xfId="25643"/>
    <cellStyle name="Obliczenia 2 5 47 2" xfId="25644"/>
    <cellStyle name="Obliczenia 2 5 47 3" xfId="25645"/>
    <cellStyle name="Obliczenia 2 5 48" xfId="25646"/>
    <cellStyle name="Obliczenia 2 5 48 2" xfId="25647"/>
    <cellStyle name="Obliczenia 2 5 48 3" xfId="25648"/>
    <cellStyle name="Obliczenia 2 5 49" xfId="25649"/>
    <cellStyle name="Obliczenia 2 5 49 2" xfId="25650"/>
    <cellStyle name="Obliczenia 2 5 49 3" xfId="25651"/>
    <cellStyle name="Obliczenia 2 5 5" xfId="25652"/>
    <cellStyle name="Obliczenia 2 5 5 2" xfId="25653"/>
    <cellStyle name="Obliczenia 2 5 5 3" xfId="25654"/>
    <cellStyle name="Obliczenia 2 5 5 4" xfId="25655"/>
    <cellStyle name="Obliczenia 2 5 50" xfId="25656"/>
    <cellStyle name="Obliczenia 2 5 50 2" xfId="25657"/>
    <cellStyle name="Obliczenia 2 5 50 3" xfId="25658"/>
    <cellStyle name="Obliczenia 2 5 51" xfId="25659"/>
    <cellStyle name="Obliczenia 2 5 51 2" xfId="25660"/>
    <cellStyle name="Obliczenia 2 5 51 3" xfId="25661"/>
    <cellStyle name="Obliczenia 2 5 52" xfId="25662"/>
    <cellStyle name="Obliczenia 2 5 52 2" xfId="25663"/>
    <cellStyle name="Obliczenia 2 5 52 3" xfId="25664"/>
    <cellStyle name="Obliczenia 2 5 53" xfId="25665"/>
    <cellStyle name="Obliczenia 2 5 53 2" xfId="25666"/>
    <cellStyle name="Obliczenia 2 5 53 3" xfId="25667"/>
    <cellStyle name="Obliczenia 2 5 54" xfId="25668"/>
    <cellStyle name="Obliczenia 2 5 54 2" xfId="25669"/>
    <cellStyle name="Obliczenia 2 5 54 3" xfId="25670"/>
    <cellStyle name="Obliczenia 2 5 55" xfId="25671"/>
    <cellStyle name="Obliczenia 2 5 55 2" xfId="25672"/>
    <cellStyle name="Obliczenia 2 5 55 3" xfId="25673"/>
    <cellStyle name="Obliczenia 2 5 56" xfId="25674"/>
    <cellStyle name="Obliczenia 2 5 56 2" xfId="25675"/>
    <cellStyle name="Obliczenia 2 5 56 3" xfId="25676"/>
    <cellStyle name="Obliczenia 2 5 57" xfId="25677"/>
    <cellStyle name="Obliczenia 2 5 58" xfId="25678"/>
    <cellStyle name="Obliczenia 2 5 6" xfId="25679"/>
    <cellStyle name="Obliczenia 2 5 6 2" xfId="25680"/>
    <cellStyle name="Obliczenia 2 5 6 3" xfId="25681"/>
    <cellStyle name="Obliczenia 2 5 6 4" xfId="25682"/>
    <cellStyle name="Obliczenia 2 5 7" xfId="25683"/>
    <cellStyle name="Obliczenia 2 5 7 2" xfId="25684"/>
    <cellStyle name="Obliczenia 2 5 7 3" xfId="25685"/>
    <cellStyle name="Obliczenia 2 5 7 4" xfId="25686"/>
    <cellStyle name="Obliczenia 2 5 8" xfId="25687"/>
    <cellStyle name="Obliczenia 2 5 8 2" xfId="25688"/>
    <cellStyle name="Obliczenia 2 5 8 3" xfId="25689"/>
    <cellStyle name="Obliczenia 2 5 8 4" xfId="25690"/>
    <cellStyle name="Obliczenia 2 5 9" xfId="25691"/>
    <cellStyle name="Obliczenia 2 5 9 2" xfId="25692"/>
    <cellStyle name="Obliczenia 2 5 9 3" xfId="25693"/>
    <cellStyle name="Obliczenia 2 5 9 4" xfId="25694"/>
    <cellStyle name="Obliczenia 2 50" xfId="25695"/>
    <cellStyle name="Obliczenia 2 50 2" xfId="25696"/>
    <cellStyle name="Obliczenia 2 50 3" xfId="25697"/>
    <cellStyle name="Obliczenia 2 50 4" xfId="25698"/>
    <cellStyle name="Obliczenia 2 51" xfId="25699"/>
    <cellStyle name="Obliczenia 2 51 2" xfId="25700"/>
    <cellStyle name="Obliczenia 2 51 3" xfId="25701"/>
    <cellStyle name="Obliczenia 2 51 4" xfId="25702"/>
    <cellStyle name="Obliczenia 2 52" xfId="25703"/>
    <cellStyle name="Obliczenia 2 52 2" xfId="25704"/>
    <cellStyle name="Obliczenia 2 52 3" xfId="25705"/>
    <cellStyle name="Obliczenia 2 52 4" xfId="25706"/>
    <cellStyle name="Obliczenia 2 53" xfId="25707"/>
    <cellStyle name="Obliczenia 2 53 2" xfId="25708"/>
    <cellStyle name="Obliczenia 2 53 3" xfId="25709"/>
    <cellStyle name="Obliczenia 2 53 4" xfId="25710"/>
    <cellStyle name="Obliczenia 2 54" xfId="25711"/>
    <cellStyle name="Obliczenia 2 54 2" xfId="25712"/>
    <cellStyle name="Obliczenia 2 54 3" xfId="25713"/>
    <cellStyle name="Obliczenia 2 54 4" xfId="25714"/>
    <cellStyle name="Obliczenia 2 55" xfId="25715"/>
    <cellStyle name="Obliczenia 2 55 2" xfId="25716"/>
    <cellStyle name="Obliczenia 2 55 3" xfId="25717"/>
    <cellStyle name="Obliczenia 2 55 4" xfId="25718"/>
    <cellStyle name="Obliczenia 2 56" xfId="25719"/>
    <cellStyle name="Obliczenia 2 56 2" xfId="25720"/>
    <cellStyle name="Obliczenia 2 56 3" xfId="25721"/>
    <cellStyle name="Obliczenia 2 56 4" xfId="25722"/>
    <cellStyle name="Obliczenia 2 57" xfId="25723"/>
    <cellStyle name="Obliczenia 2 57 2" xfId="25724"/>
    <cellStyle name="Obliczenia 2 57 3" xfId="25725"/>
    <cellStyle name="Obliczenia 2 57 4" xfId="25726"/>
    <cellStyle name="Obliczenia 2 58" xfId="25727"/>
    <cellStyle name="Obliczenia 2 58 2" xfId="25728"/>
    <cellStyle name="Obliczenia 2 58 3" xfId="25729"/>
    <cellStyle name="Obliczenia 2 58 4" xfId="25730"/>
    <cellStyle name="Obliczenia 2 59" xfId="25731"/>
    <cellStyle name="Obliczenia 2 59 2" xfId="25732"/>
    <cellStyle name="Obliczenia 2 59 3" xfId="25733"/>
    <cellStyle name="Obliczenia 2 59 4" xfId="25734"/>
    <cellStyle name="Obliczenia 2 6" xfId="25735"/>
    <cellStyle name="Obliczenia 2 6 10" xfId="25736"/>
    <cellStyle name="Obliczenia 2 6 10 2" xfId="25737"/>
    <cellStyle name="Obliczenia 2 6 10 3" xfId="25738"/>
    <cellStyle name="Obliczenia 2 6 10 4" xfId="25739"/>
    <cellStyle name="Obliczenia 2 6 11" xfId="25740"/>
    <cellStyle name="Obliczenia 2 6 11 2" xfId="25741"/>
    <cellStyle name="Obliczenia 2 6 11 3" xfId="25742"/>
    <cellStyle name="Obliczenia 2 6 11 4" xfId="25743"/>
    <cellStyle name="Obliczenia 2 6 12" xfId="25744"/>
    <cellStyle name="Obliczenia 2 6 12 2" xfId="25745"/>
    <cellStyle name="Obliczenia 2 6 12 3" xfId="25746"/>
    <cellStyle name="Obliczenia 2 6 12 4" xfId="25747"/>
    <cellStyle name="Obliczenia 2 6 13" xfId="25748"/>
    <cellStyle name="Obliczenia 2 6 13 2" xfId="25749"/>
    <cellStyle name="Obliczenia 2 6 13 3" xfId="25750"/>
    <cellStyle name="Obliczenia 2 6 13 4" xfId="25751"/>
    <cellStyle name="Obliczenia 2 6 14" xfId="25752"/>
    <cellStyle name="Obliczenia 2 6 14 2" xfId="25753"/>
    <cellStyle name="Obliczenia 2 6 14 3" xfId="25754"/>
    <cellStyle name="Obliczenia 2 6 14 4" xfId="25755"/>
    <cellStyle name="Obliczenia 2 6 15" xfId="25756"/>
    <cellStyle name="Obliczenia 2 6 15 2" xfId="25757"/>
    <cellStyle name="Obliczenia 2 6 15 3" xfId="25758"/>
    <cellStyle name="Obliczenia 2 6 15 4" xfId="25759"/>
    <cellStyle name="Obliczenia 2 6 16" xfId="25760"/>
    <cellStyle name="Obliczenia 2 6 16 2" xfId="25761"/>
    <cellStyle name="Obliczenia 2 6 16 3" xfId="25762"/>
    <cellStyle name="Obliczenia 2 6 16 4" xfId="25763"/>
    <cellStyle name="Obliczenia 2 6 17" xfId="25764"/>
    <cellStyle name="Obliczenia 2 6 17 2" xfId="25765"/>
    <cellStyle name="Obliczenia 2 6 17 3" xfId="25766"/>
    <cellStyle name="Obliczenia 2 6 17 4" xfId="25767"/>
    <cellStyle name="Obliczenia 2 6 18" xfId="25768"/>
    <cellStyle name="Obliczenia 2 6 18 2" xfId="25769"/>
    <cellStyle name="Obliczenia 2 6 18 3" xfId="25770"/>
    <cellStyle name="Obliczenia 2 6 18 4" xfId="25771"/>
    <cellStyle name="Obliczenia 2 6 19" xfId="25772"/>
    <cellStyle name="Obliczenia 2 6 19 2" xfId="25773"/>
    <cellStyle name="Obliczenia 2 6 19 3" xfId="25774"/>
    <cellStyle name="Obliczenia 2 6 19 4" xfId="25775"/>
    <cellStyle name="Obliczenia 2 6 2" xfId="25776"/>
    <cellStyle name="Obliczenia 2 6 2 2" xfId="25777"/>
    <cellStyle name="Obliczenia 2 6 2 3" xfId="25778"/>
    <cellStyle name="Obliczenia 2 6 2 4" xfId="25779"/>
    <cellStyle name="Obliczenia 2 6 20" xfId="25780"/>
    <cellStyle name="Obliczenia 2 6 20 2" xfId="25781"/>
    <cellStyle name="Obliczenia 2 6 20 3" xfId="25782"/>
    <cellStyle name="Obliczenia 2 6 20 4" xfId="25783"/>
    <cellStyle name="Obliczenia 2 6 21" xfId="25784"/>
    <cellStyle name="Obliczenia 2 6 21 2" xfId="25785"/>
    <cellStyle name="Obliczenia 2 6 21 3" xfId="25786"/>
    <cellStyle name="Obliczenia 2 6 22" xfId="25787"/>
    <cellStyle name="Obliczenia 2 6 22 2" xfId="25788"/>
    <cellStyle name="Obliczenia 2 6 22 3" xfId="25789"/>
    <cellStyle name="Obliczenia 2 6 23" xfId="25790"/>
    <cellStyle name="Obliczenia 2 6 23 2" xfId="25791"/>
    <cellStyle name="Obliczenia 2 6 23 3" xfId="25792"/>
    <cellStyle name="Obliczenia 2 6 24" xfId="25793"/>
    <cellStyle name="Obliczenia 2 6 24 2" xfId="25794"/>
    <cellStyle name="Obliczenia 2 6 24 3" xfId="25795"/>
    <cellStyle name="Obliczenia 2 6 25" xfId="25796"/>
    <cellStyle name="Obliczenia 2 6 25 2" xfId="25797"/>
    <cellStyle name="Obliczenia 2 6 25 3" xfId="25798"/>
    <cellStyle name="Obliczenia 2 6 26" xfId="25799"/>
    <cellStyle name="Obliczenia 2 6 26 2" xfId="25800"/>
    <cellStyle name="Obliczenia 2 6 26 3" xfId="25801"/>
    <cellStyle name="Obliczenia 2 6 27" xfId="25802"/>
    <cellStyle name="Obliczenia 2 6 27 2" xfId="25803"/>
    <cellStyle name="Obliczenia 2 6 27 3" xfId="25804"/>
    <cellStyle name="Obliczenia 2 6 28" xfId="25805"/>
    <cellStyle name="Obliczenia 2 6 28 2" xfId="25806"/>
    <cellStyle name="Obliczenia 2 6 28 3" xfId="25807"/>
    <cellStyle name="Obliczenia 2 6 29" xfId="25808"/>
    <cellStyle name="Obliczenia 2 6 29 2" xfId="25809"/>
    <cellStyle name="Obliczenia 2 6 29 3" xfId="25810"/>
    <cellStyle name="Obliczenia 2 6 3" xfId="25811"/>
    <cellStyle name="Obliczenia 2 6 3 2" xfId="25812"/>
    <cellStyle name="Obliczenia 2 6 3 3" xfId="25813"/>
    <cellStyle name="Obliczenia 2 6 3 4" xfId="25814"/>
    <cellStyle name="Obliczenia 2 6 30" xfId="25815"/>
    <cellStyle name="Obliczenia 2 6 30 2" xfId="25816"/>
    <cellStyle name="Obliczenia 2 6 30 3" xfId="25817"/>
    <cellStyle name="Obliczenia 2 6 31" xfId="25818"/>
    <cellStyle name="Obliczenia 2 6 31 2" xfId="25819"/>
    <cellStyle name="Obliczenia 2 6 31 3" xfId="25820"/>
    <cellStyle name="Obliczenia 2 6 32" xfId="25821"/>
    <cellStyle name="Obliczenia 2 6 32 2" xfId="25822"/>
    <cellStyle name="Obliczenia 2 6 32 3" xfId="25823"/>
    <cellStyle name="Obliczenia 2 6 33" xfId="25824"/>
    <cellStyle name="Obliczenia 2 6 33 2" xfId="25825"/>
    <cellStyle name="Obliczenia 2 6 33 3" xfId="25826"/>
    <cellStyle name="Obliczenia 2 6 34" xfId="25827"/>
    <cellStyle name="Obliczenia 2 6 34 2" xfId="25828"/>
    <cellStyle name="Obliczenia 2 6 34 3" xfId="25829"/>
    <cellStyle name="Obliczenia 2 6 35" xfId="25830"/>
    <cellStyle name="Obliczenia 2 6 35 2" xfId="25831"/>
    <cellStyle name="Obliczenia 2 6 35 3" xfId="25832"/>
    <cellStyle name="Obliczenia 2 6 36" xfId="25833"/>
    <cellStyle name="Obliczenia 2 6 36 2" xfId="25834"/>
    <cellStyle name="Obliczenia 2 6 36 3" xfId="25835"/>
    <cellStyle name="Obliczenia 2 6 37" xfId="25836"/>
    <cellStyle name="Obliczenia 2 6 37 2" xfId="25837"/>
    <cellStyle name="Obliczenia 2 6 37 3" xfId="25838"/>
    <cellStyle name="Obliczenia 2 6 38" xfId="25839"/>
    <cellStyle name="Obliczenia 2 6 38 2" xfId="25840"/>
    <cellStyle name="Obliczenia 2 6 38 3" xfId="25841"/>
    <cellStyle name="Obliczenia 2 6 39" xfId="25842"/>
    <cellStyle name="Obliczenia 2 6 39 2" xfId="25843"/>
    <cellStyle name="Obliczenia 2 6 39 3" xfId="25844"/>
    <cellStyle name="Obliczenia 2 6 4" xfId="25845"/>
    <cellStyle name="Obliczenia 2 6 4 2" xfId="25846"/>
    <cellStyle name="Obliczenia 2 6 4 3" xfId="25847"/>
    <cellStyle name="Obliczenia 2 6 4 4" xfId="25848"/>
    <cellStyle name="Obliczenia 2 6 40" xfId="25849"/>
    <cellStyle name="Obliczenia 2 6 40 2" xfId="25850"/>
    <cellStyle name="Obliczenia 2 6 40 3" xfId="25851"/>
    <cellStyle name="Obliczenia 2 6 41" xfId="25852"/>
    <cellStyle name="Obliczenia 2 6 41 2" xfId="25853"/>
    <cellStyle name="Obliczenia 2 6 41 3" xfId="25854"/>
    <cellStyle name="Obliczenia 2 6 42" xfId="25855"/>
    <cellStyle name="Obliczenia 2 6 42 2" xfId="25856"/>
    <cellStyle name="Obliczenia 2 6 42 3" xfId="25857"/>
    <cellStyle name="Obliczenia 2 6 43" xfId="25858"/>
    <cellStyle name="Obliczenia 2 6 43 2" xfId="25859"/>
    <cellStyle name="Obliczenia 2 6 43 3" xfId="25860"/>
    <cellStyle name="Obliczenia 2 6 44" xfId="25861"/>
    <cellStyle name="Obliczenia 2 6 44 2" xfId="25862"/>
    <cellStyle name="Obliczenia 2 6 44 3" xfId="25863"/>
    <cellStyle name="Obliczenia 2 6 45" xfId="25864"/>
    <cellStyle name="Obliczenia 2 6 45 2" xfId="25865"/>
    <cellStyle name="Obliczenia 2 6 45 3" xfId="25866"/>
    <cellStyle name="Obliczenia 2 6 46" xfId="25867"/>
    <cellStyle name="Obliczenia 2 6 46 2" xfId="25868"/>
    <cellStyle name="Obliczenia 2 6 46 3" xfId="25869"/>
    <cellStyle name="Obliczenia 2 6 47" xfId="25870"/>
    <cellStyle name="Obliczenia 2 6 47 2" xfId="25871"/>
    <cellStyle name="Obliczenia 2 6 47 3" xfId="25872"/>
    <cellStyle name="Obliczenia 2 6 48" xfId="25873"/>
    <cellStyle name="Obliczenia 2 6 48 2" xfId="25874"/>
    <cellStyle name="Obliczenia 2 6 48 3" xfId="25875"/>
    <cellStyle name="Obliczenia 2 6 49" xfId="25876"/>
    <cellStyle name="Obliczenia 2 6 49 2" xfId="25877"/>
    <cellStyle name="Obliczenia 2 6 49 3" xfId="25878"/>
    <cellStyle name="Obliczenia 2 6 5" xfId="25879"/>
    <cellStyle name="Obliczenia 2 6 5 2" xfId="25880"/>
    <cellStyle name="Obliczenia 2 6 5 3" xfId="25881"/>
    <cellStyle name="Obliczenia 2 6 5 4" xfId="25882"/>
    <cellStyle name="Obliczenia 2 6 50" xfId="25883"/>
    <cellStyle name="Obliczenia 2 6 50 2" xfId="25884"/>
    <cellStyle name="Obliczenia 2 6 50 3" xfId="25885"/>
    <cellStyle name="Obliczenia 2 6 51" xfId="25886"/>
    <cellStyle name="Obliczenia 2 6 51 2" xfId="25887"/>
    <cellStyle name="Obliczenia 2 6 51 3" xfId="25888"/>
    <cellStyle name="Obliczenia 2 6 52" xfId="25889"/>
    <cellStyle name="Obliczenia 2 6 52 2" xfId="25890"/>
    <cellStyle name="Obliczenia 2 6 52 3" xfId="25891"/>
    <cellStyle name="Obliczenia 2 6 53" xfId="25892"/>
    <cellStyle name="Obliczenia 2 6 53 2" xfId="25893"/>
    <cellStyle name="Obliczenia 2 6 53 3" xfId="25894"/>
    <cellStyle name="Obliczenia 2 6 54" xfId="25895"/>
    <cellStyle name="Obliczenia 2 6 54 2" xfId="25896"/>
    <cellStyle name="Obliczenia 2 6 54 3" xfId="25897"/>
    <cellStyle name="Obliczenia 2 6 55" xfId="25898"/>
    <cellStyle name="Obliczenia 2 6 55 2" xfId="25899"/>
    <cellStyle name="Obliczenia 2 6 55 3" xfId="25900"/>
    <cellStyle name="Obliczenia 2 6 56" xfId="25901"/>
    <cellStyle name="Obliczenia 2 6 56 2" xfId="25902"/>
    <cellStyle name="Obliczenia 2 6 56 3" xfId="25903"/>
    <cellStyle name="Obliczenia 2 6 57" xfId="25904"/>
    <cellStyle name="Obliczenia 2 6 58" xfId="25905"/>
    <cellStyle name="Obliczenia 2 6 6" xfId="25906"/>
    <cellStyle name="Obliczenia 2 6 6 2" xfId="25907"/>
    <cellStyle name="Obliczenia 2 6 6 3" xfId="25908"/>
    <cellStyle name="Obliczenia 2 6 6 4" xfId="25909"/>
    <cellStyle name="Obliczenia 2 6 7" xfId="25910"/>
    <cellStyle name="Obliczenia 2 6 7 2" xfId="25911"/>
    <cellStyle name="Obliczenia 2 6 7 3" xfId="25912"/>
    <cellStyle name="Obliczenia 2 6 7 4" xfId="25913"/>
    <cellStyle name="Obliczenia 2 6 8" xfId="25914"/>
    <cellStyle name="Obliczenia 2 6 8 2" xfId="25915"/>
    <cellStyle name="Obliczenia 2 6 8 3" xfId="25916"/>
    <cellStyle name="Obliczenia 2 6 8 4" xfId="25917"/>
    <cellStyle name="Obliczenia 2 6 9" xfId="25918"/>
    <cellStyle name="Obliczenia 2 6 9 2" xfId="25919"/>
    <cellStyle name="Obliczenia 2 6 9 3" xfId="25920"/>
    <cellStyle name="Obliczenia 2 6 9 4" xfId="25921"/>
    <cellStyle name="Obliczenia 2 60" xfId="25922"/>
    <cellStyle name="Obliczenia 2 60 2" xfId="25923"/>
    <cellStyle name="Obliczenia 2 60 3" xfId="25924"/>
    <cellStyle name="Obliczenia 2 60 4" xfId="25925"/>
    <cellStyle name="Obliczenia 2 61" xfId="25926"/>
    <cellStyle name="Obliczenia 2 61 2" xfId="25927"/>
    <cellStyle name="Obliczenia 2 61 3" xfId="25928"/>
    <cellStyle name="Obliczenia 2 61 4" xfId="25929"/>
    <cellStyle name="Obliczenia 2 62" xfId="25930"/>
    <cellStyle name="Obliczenia 2 62 2" xfId="25931"/>
    <cellStyle name="Obliczenia 2 62 3" xfId="25932"/>
    <cellStyle name="Obliczenia 2 62 4" xfId="25933"/>
    <cellStyle name="Obliczenia 2 63" xfId="25934"/>
    <cellStyle name="Obliczenia 2 63 2" xfId="25935"/>
    <cellStyle name="Obliczenia 2 63 3" xfId="25936"/>
    <cellStyle name="Obliczenia 2 63 4" xfId="25937"/>
    <cellStyle name="Obliczenia 2 64" xfId="25938"/>
    <cellStyle name="Obliczenia 2 64 2" xfId="25939"/>
    <cellStyle name="Obliczenia 2 64 3" xfId="25940"/>
    <cellStyle name="Obliczenia 2 64 4" xfId="25941"/>
    <cellStyle name="Obliczenia 2 65" xfId="25942"/>
    <cellStyle name="Obliczenia 2 65 2" xfId="25943"/>
    <cellStyle name="Obliczenia 2 65 3" xfId="25944"/>
    <cellStyle name="Obliczenia 2 65 4" xfId="25945"/>
    <cellStyle name="Obliczenia 2 66" xfId="25946"/>
    <cellStyle name="Obliczenia 2 66 2" xfId="25947"/>
    <cellStyle name="Obliczenia 2 66 3" xfId="25948"/>
    <cellStyle name="Obliczenia 2 66 4" xfId="25949"/>
    <cellStyle name="Obliczenia 2 67" xfId="25950"/>
    <cellStyle name="Obliczenia 2 67 2" xfId="25951"/>
    <cellStyle name="Obliczenia 2 67 3" xfId="25952"/>
    <cellStyle name="Obliczenia 2 68" xfId="25953"/>
    <cellStyle name="Obliczenia 2 68 2" xfId="25954"/>
    <cellStyle name="Obliczenia 2 68 3" xfId="25955"/>
    <cellStyle name="Obliczenia 2 69" xfId="25956"/>
    <cellStyle name="Obliczenia 2 69 2" xfId="25957"/>
    <cellStyle name="Obliczenia 2 69 3" xfId="25958"/>
    <cellStyle name="Obliczenia 2 7" xfId="25959"/>
    <cellStyle name="Obliczenia 2 7 10" xfId="25960"/>
    <cellStyle name="Obliczenia 2 7 10 2" xfId="25961"/>
    <cellStyle name="Obliczenia 2 7 10 3" xfId="25962"/>
    <cellStyle name="Obliczenia 2 7 10 4" xfId="25963"/>
    <cellStyle name="Obliczenia 2 7 11" xfId="25964"/>
    <cellStyle name="Obliczenia 2 7 11 2" xfId="25965"/>
    <cellStyle name="Obliczenia 2 7 11 3" xfId="25966"/>
    <cellStyle name="Obliczenia 2 7 11 4" xfId="25967"/>
    <cellStyle name="Obliczenia 2 7 12" xfId="25968"/>
    <cellStyle name="Obliczenia 2 7 12 2" xfId="25969"/>
    <cellStyle name="Obliczenia 2 7 12 3" xfId="25970"/>
    <cellStyle name="Obliczenia 2 7 12 4" xfId="25971"/>
    <cellStyle name="Obliczenia 2 7 13" xfId="25972"/>
    <cellStyle name="Obliczenia 2 7 13 2" xfId="25973"/>
    <cellStyle name="Obliczenia 2 7 13 3" xfId="25974"/>
    <cellStyle name="Obliczenia 2 7 13 4" xfId="25975"/>
    <cellStyle name="Obliczenia 2 7 14" xfId="25976"/>
    <cellStyle name="Obliczenia 2 7 14 2" xfId="25977"/>
    <cellStyle name="Obliczenia 2 7 14 3" xfId="25978"/>
    <cellStyle name="Obliczenia 2 7 14 4" xfId="25979"/>
    <cellStyle name="Obliczenia 2 7 15" xfId="25980"/>
    <cellStyle name="Obliczenia 2 7 15 2" xfId="25981"/>
    <cellStyle name="Obliczenia 2 7 15 3" xfId="25982"/>
    <cellStyle name="Obliczenia 2 7 15 4" xfId="25983"/>
    <cellStyle name="Obliczenia 2 7 16" xfId="25984"/>
    <cellStyle name="Obliczenia 2 7 16 2" xfId="25985"/>
    <cellStyle name="Obliczenia 2 7 16 3" xfId="25986"/>
    <cellStyle name="Obliczenia 2 7 16 4" xfId="25987"/>
    <cellStyle name="Obliczenia 2 7 17" xfId="25988"/>
    <cellStyle name="Obliczenia 2 7 17 2" xfId="25989"/>
    <cellStyle name="Obliczenia 2 7 17 3" xfId="25990"/>
    <cellStyle name="Obliczenia 2 7 17 4" xfId="25991"/>
    <cellStyle name="Obliczenia 2 7 18" xfId="25992"/>
    <cellStyle name="Obliczenia 2 7 18 2" xfId="25993"/>
    <cellStyle name="Obliczenia 2 7 18 3" xfId="25994"/>
    <cellStyle name="Obliczenia 2 7 18 4" xfId="25995"/>
    <cellStyle name="Obliczenia 2 7 19" xfId="25996"/>
    <cellStyle name="Obliczenia 2 7 19 2" xfId="25997"/>
    <cellStyle name="Obliczenia 2 7 19 3" xfId="25998"/>
    <cellStyle name="Obliczenia 2 7 19 4" xfId="25999"/>
    <cellStyle name="Obliczenia 2 7 2" xfId="26000"/>
    <cellStyle name="Obliczenia 2 7 2 2" xfId="26001"/>
    <cellStyle name="Obliczenia 2 7 2 3" xfId="26002"/>
    <cellStyle name="Obliczenia 2 7 2 4" xfId="26003"/>
    <cellStyle name="Obliczenia 2 7 20" xfId="26004"/>
    <cellStyle name="Obliczenia 2 7 20 2" xfId="26005"/>
    <cellStyle name="Obliczenia 2 7 20 3" xfId="26006"/>
    <cellStyle name="Obliczenia 2 7 20 4" xfId="26007"/>
    <cellStyle name="Obliczenia 2 7 21" xfId="26008"/>
    <cellStyle name="Obliczenia 2 7 21 2" xfId="26009"/>
    <cellStyle name="Obliczenia 2 7 21 3" xfId="26010"/>
    <cellStyle name="Obliczenia 2 7 22" xfId="26011"/>
    <cellStyle name="Obliczenia 2 7 22 2" xfId="26012"/>
    <cellStyle name="Obliczenia 2 7 22 3" xfId="26013"/>
    <cellStyle name="Obliczenia 2 7 23" xfId="26014"/>
    <cellStyle name="Obliczenia 2 7 23 2" xfId="26015"/>
    <cellStyle name="Obliczenia 2 7 23 3" xfId="26016"/>
    <cellStyle name="Obliczenia 2 7 24" xfId="26017"/>
    <cellStyle name="Obliczenia 2 7 24 2" xfId="26018"/>
    <cellStyle name="Obliczenia 2 7 24 3" xfId="26019"/>
    <cellStyle name="Obliczenia 2 7 25" xfId="26020"/>
    <cellStyle name="Obliczenia 2 7 25 2" xfId="26021"/>
    <cellStyle name="Obliczenia 2 7 25 3" xfId="26022"/>
    <cellStyle name="Obliczenia 2 7 26" xfId="26023"/>
    <cellStyle name="Obliczenia 2 7 26 2" xfId="26024"/>
    <cellStyle name="Obliczenia 2 7 26 3" xfId="26025"/>
    <cellStyle name="Obliczenia 2 7 27" xfId="26026"/>
    <cellStyle name="Obliczenia 2 7 27 2" xfId="26027"/>
    <cellStyle name="Obliczenia 2 7 27 3" xfId="26028"/>
    <cellStyle name="Obliczenia 2 7 28" xfId="26029"/>
    <cellStyle name="Obliczenia 2 7 28 2" xfId="26030"/>
    <cellStyle name="Obliczenia 2 7 28 3" xfId="26031"/>
    <cellStyle name="Obliczenia 2 7 29" xfId="26032"/>
    <cellStyle name="Obliczenia 2 7 29 2" xfId="26033"/>
    <cellStyle name="Obliczenia 2 7 29 3" xfId="26034"/>
    <cellStyle name="Obliczenia 2 7 3" xfId="26035"/>
    <cellStyle name="Obliczenia 2 7 3 2" xfId="26036"/>
    <cellStyle name="Obliczenia 2 7 3 3" xfId="26037"/>
    <cellStyle name="Obliczenia 2 7 3 4" xfId="26038"/>
    <cellStyle name="Obliczenia 2 7 30" xfId="26039"/>
    <cellStyle name="Obliczenia 2 7 30 2" xfId="26040"/>
    <cellStyle name="Obliczenia 2 7 30 3" xfId="26041"/>
    <cellStyle name="Obliczenia 2 7 31" xfId="26042"/>
    <cellStyle name="Obliczenia 2 7 31 2" xfId="26043"/>
    <cellStyle name="Obliczenia 2 7 31 3" xfId="26044"/>
    <cellStyle name="Obliczenia 2 7 32" xfId="26045"/>
    <cellStyle name="Obliczenia 2 7 32 2" xfId="26046"/>
    <cellStyle name="Obliczenia 2 7 32 3" xfId="26047"/>
    <cellStyle name="Obliczenia 2 7 33" xfId="26048"/>
    <cellStyle name="Obliczenia 2 7 33 2" xfId="26049"/>
    <cellStyle name="Obliczenia 2 7 33 3" xfId="26050"/>
    <cellStyle name="Obliczenia 2 7 34" xfId="26051"/>
    <cellStyle name="Obliczenia 2 7 34 2" xfId="26052"/>
    <cellStyle name="Obliczenia 2 7 34 3" xfId="26053"/>
    <cellStyle name="Obliczenia 2 7 35" xfId="26054"/>
    <cellStyle name="Obliczenia 2 7 35 2" xfId="26055"/>
    <cellStyle name="Obliczenia 2 7 35 3" xfId="26056"/>
    <cellStyle name="Obliczenia 2 7 36" xfId="26057"/>
    <cellStyle name="Obliczenia 2 7 36 2" xfId="26058"/>
    <cellStyle name="Obliczenia 2 7 36 3" xfId="26059"/>
    <cellStyle name="Obliczenia 2 7 37" xfId="26060"/>
    <cellStyle name="Obliczenia 2 7 37 2" xfId="26061"/>
    <cellStyle name="Obliczenia 2 7 37 3" xfId="26062"/>
    <cellStyle name="Obliczenia 2 7 38" xfId="26063"/>
    <cellStyle name="Obliczenia 2 7 38 2" xfId="26064"/>
    <cellStyle name="Obliczenia 2 7 38 3" xfId="26065"/>
    <cellStyle name="Obliczenia 2 7 39" xfId="26066"/>
    <cellStyle name="Obliczenia 2 7 39 2" xfId="26067"/>
    <cellStyle name="Obliczenia 2 7 39 3" xfId="26068"/>
    <cellStyle name="Obliczenia 2 7 4" xfId="26069"/>
    <cellStyle name="Obliczenia 2 7 4 2" xfId="26070"/>
    <cellStyle name="Obliczenia 2 7 4 3" xfId="26071"/>
    <cellStyle name="Obliczenia 2 7 4 4" xfId="26072"/>
    <cellStyle name="Obliczenia 2 7 40" xfId="26073"/>
    <cellStyle name="Obliczenia 2 7 40 2" xfId="26074"/>
    <cellStyle name="Obliczenia 2 7 40 3" xfId="26075"/>
    <cellStyle name="Obliczenia 2 7 41" xfId="26076"/>
    <cellStyle name="Obliczenia 2 7 41 2" xfId="26077"/>
    <cellStyle name="Obliczenia 2 7 41 3" xfId="26078"/>
    <cellStyle name="Obliczenia 2 7 42" xfId="26079"/>
    <cellStyle name="Obliczenia 2 7 42 2" xfId="26080"/>
    <cellStyle name="Obliczenia 2 7 42 3" xfId="26081"/>
    <cellStyle name="Obliczenia 2 7 43" xfId="26082"/>
    <cellStyle name="Obliczenia 2 7 43 2" xfId="26083"/>
    <cellStyle name="Obliczenia 2 7 43 3" xfId="26084"/>
    <cellStyle name="Obliczenia 2 7 44" xfId="26085"/>
    <cellStyle name="Obliczenia 2 7 44 2" xfId="26086"/>
    <cellStyle name="Obliczenia 2 7 44 3" xfId="26087"/>
    <cellStyle name="Obliczenia 2 7 45" xfId="26088"/>
    <cellStyle name="Obliczenia 2 7 45 2" xfId="26089"/>
    <cellStyle name="Obliczenia 2 7 45 3" xfId="26090"/>
    <cellStyle name="Obliczenia 2 7 46" xfId="26091"/>
    <cellStyle name="Obliczenia 2 7 46 2" xfId="26092"/>
    <cellStyle name="Obliczenia 2 7 46 3" xfId="26093"/>
    <cellStyle name="Obliczenia 2 7 47" xfId="26094"/>
    <cellStyle name="Obliczenia 2 7 47 2" xfId="26095"/>
    <cellStyle name="Obliczenia 2 7 47 3" xfId="26096"/>
    <cellStyle name="Obliczenia 2 7 48" xfId="26097"/>
    <cellStyle name="Obliczenia 2 7 48 2" xfId="26098"/>
    <cellStyle name="Obliczenia 2 7 48 3" xfId="26099"/>
    <cellStyle name="Obliczenia 2 7 49" xfId="26100"/>
    <cellStyle name="Obliczenia 2 7 49 2" xfId="26101"/>
    <cellStyle name="Obliczenia 2 7 49 3" xfId="26102"/>
    <cellStyle name="Obliczenia 2 7 5" xfId="26103"/>
    <cellStyle name="Obliczenia 2 7 5 2" xfId="26104"/>
    <cellStyle name="Obliczenia 2 7 5 3" xfId="26105"/>
    <cellStyle name="Obliczenia 2 7 5 4" xfId="26106"/>
    <cellStyle name="Obliczenia 2 7 50" xfId="26107"/>
    <cellStyle name="Obliczenia 2 7 50 2" xfId="26108"/>
    <cellStyle name="Obliczenia 2 7 50 3" xfId="26109"/>
    <cellStyle name="Obliczenia 2 7 51" xfId="26110"/>
    <cellStyle name="Obliczenia 2 7 51 2" xfId="26111"/>
    <cellStyle name="Obliczenia 2 7 51 3" xfId="26112"/>
    <cellStyle name="Obliczenia 2 7 52" xfId="26113"/>
    <cellStyle name="Obliczenia 2 7 52 2" xfId="26114"/>
    <cellStyle name="Obliczenia 2 7 52 3" xfId="26115"/>
    <cellStyle name="Obliczenia 2 7 53" xfId="26116"/>
    <cellStyle name="Obliczenia 2 7 53 2" xfId="26117"/>
    <cellStyle name="Obliczenia 2 7 53 3" xfId="26118"/>
    <cellStyle name="Obliczenia 2 7 54" xfId="26119"/>
    <cellStyle name="Obliczenia 2 7 54 2" xfId="26120"/>
    <cellStyle name="Obliczenia 2 7 54 3" xfId="26121"/>
    <cellStyle name="Obliczenia 2 7 55" xfId="26122"/>
    <cellStyle name="Obliczenia 2 7 55 2" xfId="26123"/>
    <cellStyle name="Obliczenia 2 7 55 3" xfId="26124"/>
    <cellStyle name="Obliczenia 2 7 56" xfId="26125"/>
    <cellStyle name="Obliczenia 2 7 56 2" xfId="26126"/>
    <cellStyle name="Obliczenia 2 7 56 3" xfId="26127"/>
    <cellStyle name="Obliczenia 2 7 57" xfId="26128"/>
    <cellStyle name="Obliczenia 2 7 58" xfId="26129"/>
    <cellStyle name="Obliczenia 2 7 6" xfId="26130"/>
    <cellStyle name="Obliczenia 2 7 6 2" xfId="26131"/>
    <cellStyle name="Obliczenia 2 7 6 3" xfId="26132"/>
    <cellStyle name="Obliczenia 2 7 6 4" xfId="26133"/>
    <cellStyle name="Obliczenia 2 7 7" xfId="26134"/>
    <cellStyle name="Obliczenia 2 7 7 2" xfId="26135"/>
    <cellStyle name="Obliczenia 2 7 7 3" xfId="26136"/>
    <cellStyle name="Obliczenia 2 7 7 4" xfId="26137"/>
    <cellStyle name="Obliczenia 2 7 8" xfId="26138"/>
    <cellStyle name="Obliczenia 2 7 8 2" xfId="26139"/>
    <cellStyle name="Obliczenia 2 7 8 3" xfId="26140"/>
    <cellStyle name="Obliczenia 2 7 8 4" xfId="26141"/>
    <cellStyle name="Obliczenia 2 7 9" xfId="26142"/>
    <cellStyle name="Obliczenia 2 7 9 2" xfId="26143"/>
    <cellStyle name="Obliczenia 2 7 9 3" xfId="26144"/>
    <cellStyle name="Obliczenia 2 7 9 4" xfId="26145"/>
    <cellStyle name="Obliczenia 2 70" xfId="26146"/>
    <cellStyle name="Obliczenia 2 70 2" xfId="26147"/>
    <cellStyle name="Obliczenia 2 70 3" xfId="26148"/>
    <cellStyle name="Obliczenia 2 71" xfId="26149"/>
    <cellStyle name="Obliczenia 2 71 2" xfId="26150"/>
    <cellStyle name="Obliczenia 2 71 3" xfId="26151"/>
    <cellStyle name="Obliczenia 2 72" xfId="26152"/>
    <cellStyle name="Obliczenia 2 72 2" xfId="26153"/>
    <cellStyle name="Obliczenia 2 72 3" xfId="26154"/>
    <cellStyle name="Obliczenia 2 73" xfId="26155"/>
    <cellStyle name="Obliczenia 2 73 2" xfId="26156"/>
    <cellStyle name="Obliczenia 2 73 3" xfId="26157"/>
    <cellStyle name="Obliczenia 2 74" xfId="26158"/>
    <cellStyle name="Obliczenia 2 74 2" xfId="26159"/>
    <cellStyle name="Obliczenia 2 74 3" xfId="26160"/>
    <cellStyle name="Obliczenia 2 75" xfId="26161"/>
    <cellStyle name="Obliczenia 2 75 2" xfId="26162"/>
    <cellStyle name="Obliczenia 2 75 3" xfId="26163"/>
    <cellStyle name="Obliczenia 2 76" xfId="26164"/>
    <cellStyle name="Obliczenia 2 76 2" xfId="26165"/>
    <cellStyle name="Obliczenia 2 76 3" xfId="26166"/>
    <cellStyle name="Obliczenia 2 77" xfId="26167"/>
    <cellStyle name="Obliczenia 2 77 2" xfId="26168"/>
    <cellStyle name="Obliczenia 2 77 3" xfId="26169"/>
    <cellStyle name="Obliczenia 2 78" xfId="26170"/>
    <cellStyle name="Obliczenia 2 78 2" xfId="26171"/>
    <cellStyle name="Obliczenia 2 78 3" xfId="26172"/>
    <cellStyle name="Obliczenia 2 79" xfId="26173"/>
    <cellStyle name="Obliczenia 2 79 2" xfId="26174"/>
    <cellStyle name="Obliczenia 2 79 3" xfId="26175"/>
    <cellStyle name="Obliczenia 2 8" xfId="26176"/>
    <cellStyle name="Obliczenia 2 8 10" xfId="26177"/>
    <cellStyle name="Obliczenia 2 8 10 2" xfId="26178"/>
    <cellStyle name="Obliczenia 2 8 10 3" xfId="26179"/>
    <cellStyle name="Obliczenia 2 8 10 4" xfId="26180"/>
    <cellStyle name="Obliczenia 2 8 11" xfId="26181"/>
    <cellStyle name="Obliczenia 2 8 11 2" xfId="26182"/>
    <cellStyle name="Obliczenia 2 8 11 3" xfId="26183"/>
    <cellStyle name="Obliczenia 2 8 11 4" xfId="26184"/>
    <cellStyle name="Obliczenia 2 8 12" xfId="26185"/>
    <cellStyle name="Obliczenia 2 8 12 2" xfId="26186"/>
    <cellStyle name="Obliczenia 2 8 12 3" xfId="26187"/>
    <cellStyle name="Obliczenia 2 8 12 4" xfId="26188"/>
    <cellStyle name="Obliczenia 2 8 13" xfId="26189"/>
    <cellStyle name="Obliczenia 2 8 13 2" xfId="26190"/>
    <cellStyle name="Obliczenia 2 8 13 3" xfId="26191"/>
    <cellStyle name="Obliczenia 2 8 13 4" xfId="26192"/>
    <cellStyle name="Obliczenia 2 8 14" xfId="26193"/>
    <cellStyle name="Obliczenia 2 8 14 2" xfId="26194"/>
    <cellStyle name="Obliczenia 2 8 14 3" xfId="26195"/>
    <cellStyle name="Obliczenia 2 8 14 4" xfId="26196"/>
    <cellStyle name="Obliczenia 2 8 15" xfId="26197"/>
    <cellStyle name="Obliczenia 2 8 15 2" xfId="26198"/>
    <cellStyle name="Obliczenia 2 8 15 3" xfId="26199"/>
    <cellStyle name="Obliczenia 2 8 15 4" xfId="26200"/>
    <cellStyle name="Obliczenia 2 8 16" xfId="26201"/>
    <cellStyle name="Obliczenia 2 8 16 2" xfId="26202"/>
    <cellStyle name="Obliczenia 2 8 16 3" xfId="26203"/>
    <cellStyle name="Obliczenia 2 8 16 4" xfId="26204"/>
    <cellStyle name="Obliczenia 2 8 17" xfId="26205"/>
    <cellStyle name="Obliczenia 2 8 17 2" xfId="26206"/>
    <cellStyle name="Obliczenia 2 8 17 3" xfId="26207"/>
    <cellStyle name="Obliczenia 2 8 17 4" xfId="26208"/>
    <cellStyle name="Obliczenia 2 8 18" xfId="26209"/>
    <cellStyle name="Obliczenia 2 8 18 2" xfId="26210"/>
    <cellStyle name="Obliczenia 2 8 18 3" xfId="26211"/>
    <cellStyle name="Obliczenia 2 8 18 4" xfId="26212"/>
    <cellStyle name="Obliczenia 2 8 19" xfId="26213"/>
    <cellStyle name="Obliczenia 2 8 19 2" xfId="26214"/>
    <cellStyle name="Obliczenia 2 8 19 3" xfId="26215"/>
    <cellStyle name="Obliczenia 2 8 19 4" xfId="26216"/>
    <cellStyle name="Obliczenia 2 8 2" xfId="26217"/>
    <cellStyle name="Obliczenia 2 8 2 2" xfId="26218"/>
    <cellStyle name="Obliczenia 2 8 2 3" xfId="26219"/>
    <cellStyle name="Obliczenia 2 8 2 4" xfId="26220"/>
    <cellStyle name="Obliczenia 2 8 20" xfId="26221"/>
    <cellStyle name="Obliczenia 2 8 20 2" xfId="26222"/>
    <cellStyle name="Obliczenia 2 8 20 3" xfId="26223"/>
    <cellStyle name="Obliczenia 2 8 20 4" xfId="26224"/>
    <cellStyle name="Obliczenia 2 8 21" xfId="26225"/>
    <cellStyle name="Obliczenia 2 8 21 2" xfId="26226"/>
    <cellStyle name="Obliczenia 2 8 21 3" xfId="26227"/>
    <cellStyle name="Obliczenia 2 8 22" xfId="26228"/>
    <cellStyle name="Obliczenia 2 8 22 2" xfId="26229"/>
    <cellStyle name="Obliczenia 2 8 22 3" xfId="26230"/>
    <cellStyle name="Obliczenia 2 8 23" xfId="26231"/>
    <cellStyle name="Obliczenia 2 8 23 2" xfId="26232"/>
    <cellStyle name="Obliczenia 2 8 23 3" xfId="26233"/>
    <cellStyle name="Obliczenia 2 8 24" xfId="26234"/>
    <cellStyle name="Obliczenia 2 8 24 2" xfId="26235"/>
    <cellStyle name="Obliczenia 2 8 24 3" xfId="26236"/>
    <cellStyle name="Obliczenia 2 8 25" xfId="26237"/>
    <cellStyle name="Obliczenia 2 8 25 2" xfId="26238"/>
    <cellStyle name="Obliczenia 2 8 25 3" xfId="26239"/>
    <cellStyle name="Obliczenia 2 8 26" xfId="26240"/>
    <cellStyle name="Obliczenia 2 8 26 2" xfId="26241"/>
    <cellStyle name="Obliczenia 2 8 26 3" xfId="26242"/>
    <cellStyle name="Obliczenia 2 8 27" xfId="26243"/>
    <cellStyle name="Obliczenia 2 8 27 2" xfId="26244"/>
    <cellStyle name="Obliczenia 2 8 27 3" xfId="26245"/>
    <cellStyle name="Obliczenia 2 8 28" xfId="26246"/>
    <cellStyle name="Obliczenia 2 8 28 2" xfId="26247"/>
    <cellStyle name="Obliczenia 2 8 28 3" xfId="26248"/>
    <cellStyle name="Obliczenia 2 8 29" xfId="26249"/>
    <cellStyle name="Obliczenia 2 8 29 2" xfId="26250"/>
    <cellStyle name="Obliczenia 2 8 29 3" xfId="26251"/>
    <cellStyle name="Obliczenia 2 8 3" xfId="26252"/>
    <cellStyle name="Obliczenia 2 8 3 2" xfId="26253"/>
    <cellStyle name="Obliczenia 2 8 3 3" xfId="26254"/>
    <cellStyle name="Obliczenia 2 8 3 4" xfId="26255"/>
    <cellStyle name="Obliczenia 2 8 30" xfId="26256"/>
    <cellStyle name="Obliczenia 2 8 30 2" xfId="26257"/>
    <cellStyle name="Obliczenia 2 8 30 3" xfId="26258"/>
    <cellStyle name="Obliczenia 2 8 31" xfId="26259"/>
    <cellStyle name="Obliczenia 2 8 31 2" xfId="26260"/>
    <cellStyle name="Obliczenia 2 8 31 3" xfId="26261"/>
    <cellStyle name="Obliczenia 2 8 32" xfId="26262"/>
    <cellStyle name="Obliczenia 2 8 32 2" xfId="26263"/>
    <cellStyle name="Obliczenia 2 8 32 3" xfId="26264"/>
    <cellStyle name="Obliczenia 2 8 33" xfId="26265"/>
    <cellStyle name="Obliczenia 2 8 33 2" xfId="26266"/>
    <cellStyle name="Obliczenia 2 8 33 3" xfId="26267"/>
    <cellStyle name="Obliczenia 2 8 34" xfId="26268"/>
    <cellStyle name="Obliczenia 2 8 34 2" xfId="26269"/>
    <cellStyle name="Obliczenia 2 8 34 3" xfId="26270"/>
    <cellStyle name="Obliczenia 2 8 35" xfId="26271"/>
    <cellStyle name="Obliczenia 2 8 35 2" xfId="26272"/>
    <cellStyle name="Obliczenia 2 8 35 3" xfId="26273"/>
    <cellStyle name="Obliczenia 2 8 36" xfId="26274"/>
    <cellStyle name="Obliczenia 2 8 36 2" xfId="26275"/>
    <cellStyle name="Obliczenia 2 8 36 3" xfId="26276"/>
    <cellStyle name="Obliczenia 2 8 37" xfId="26277"/>
    <cellStyle name="Obliczenia 2 8 37 2" xfId="26278"/>
    <cellStyle name="Obliczenia 2 8 37 3" xfId="26279"/>
    <cellStyle name="Obliczenia 2 8 38" xfId="26280"/>
    <cellStyle name="Obliczenia 2 8 38 2" xfId="26281"/>
    <cellStyle name="Obliczenia 2 8 38 3" xfId="26282"/>
    <cellStyle name="Obliczenia 2 8 39" xfId="26283"/>
    <cellStyle name="Obliczenia 2 8 39 2" xfId="26284"/>
    <cellStyle name="Obliczenia 2 8 39 3" xfId="26285"/>
    <cellStyle name="Obliczenia 2 8 4" xfId="26286"/>
    <cellStyle name="Obliczenia 2 8 4 2" xfId="26287"/>
    <cellStyle name="Obliczenia 2 8 4 3" xfId="26288"/>
    <cellStyle name="Obliczenia 2 8 4 4" xfId="26289"/>
    <cellStyle name="Obliczenia 2 8 40" xfId="26290"/>
    <cellStyle name="Obliczenia 2 8 40 2" xfId="26291"/>
    <cellStyle name="Obliczenia 2 8 40 3" xfId="26292"/>
    <cellStyle name="Obliczenia 2 8 41" xfId="26293"/>
    <cellStyle name="Obliczenia 2 8 41 2" xfId="26294"/>
    <cellStyle name="Obliczenia 2 8 41 3" xfId="26295"/>
    <cellStyle name="Obliczenia 2 8 42" xfId="26296"/>
    <cellStyle name="Obliczenia 2 8 42 2" xfId="26297"/>
    <cellStyle name="Obliczenia 2 8 42 3" xfId="26298"/>
    <cellStyle name="Obliczenia 2 8 43" xfId="26299"/>
    <cellStyle name="Obliczenia 2 8 43 2" xfId="26300"/>
    <cellStyle name="Obliczenia 2 8 43 3" xfId="26301"/>
    <cellStyle name="Obliczenia 2 8 44" xfId="26302"/>
    <cellStyle name="Obliczenia 2 8 44 2" xfId="26303"/>
    <cellStyle name="Obliczenia 2 8 44 3" xfId="26304"/>
    <cellStyle name="Obliczenia 2 8 45" xfId="26305"/>
    <cellStyle name="Obliczenia 2 8 45 2" xfId="26306"/>
    <cellStyle name="Obliczenia 2 8 45 3" xfId="26307"/>
    <cellStyle name="Obliczenia 2 8 46" xfId="26308"/>
    <cellStyle name="Obliczenia 2 8 46 2" xfId="26309"/>
    <cellStyle name="Obliczenia 2 8 46 3" xfId="26310"/>
    <cellStyle name="Obliczenia 2 8 47" xfId="26311"/>
    <cellStyle name="Obliczenia 2 8 47 2" xfId="26312"/>
    <cellStyle name="Obliczenia 2 8 47 3" xfId="26313"/>
    <cellStyle name="Obliczenia 2 8 48" xfId="26314"/>
    <cellStyle name="Obliczenia 2 8 48 2" xfId="26315"/>
    <cellStyle name="Obliczenia 2 8 48 3" xfId="26316"/>
    <cellStyle name="Obliczenia 2 8 49" xfId="26317"/>
    <cellStyle name="Obliczenia 2 8 49 2" xfId="26318"/>
    <cellStyle name="Obliczenia 2 8 49 3" xfId="26319"/>
    <cellStyle name="Obliczenia 2 8 5" xfId="26320"/>
    <cellStyle name="Obliczenia 2 8 5 2" xfId="26321"/>
    <cellStyle name="Obliczenia 2 8 5 3" xfId="26322"/>
    <cellStyle name="Obliczenia 2 8 5 4" xfId="26323"/>
    <cellStyle name="Obliczenia 2 8 50" xfId="26324"/>
    <cellStyle name="Obliczenia 2 8 50 2" xfId="26325"/>
    <cellStyle name="Obliczenia 2 8 50 3" xfId="26326"/>
    <cellStyle name="Obliczenia 2 8 51" xfId="26327"/>
    <cellStyle name="Obliczenia 2 8 51 2" xfId="26328"/>
    <cellStyle name="Obliczenia 2 8 51 3" xfId="26329"/>
    <cellStyle name="Obliczenia 2 8 52" xfId="26330"/>
    <cellStyle name="Obliczenia 2 8 52 2" xfId="26331"/>
    <cellStyle name="Obliczenia 2 8 52 3" xfId="26332"/>
    <cellStyle name="Obliczenia 2 8 53" xfId="26333"/>
    <cellStyle name="Obliczenia 2 8 53 2" xfId="26334"/>
    <cellStyle name="Obliczenia 2 8 53 3" xfId="26335"/>
    <cellStyle name="Obliczenia 2 8 54" xfId="26336"/>
    <cellStyle name="Obliczenia 2 8 54 2" xfId="26337"/>
    <cellStyle name="Obliczenia 2 8 54 3" xfId="26338"/>
    <cellStyle name="Obliczenia 2 8 55" xfId="26339"/>
    <cellStyle name="Obliczenia 2 8 55 2" xfId="26340"/>
    <cellStyle name="Obliczenia 2 8 55 3" xfId="26341"/>
    <cellStyle name="Obliczenia 2 8 56" xfId="26342"/>
    <cellStyle name="Obliczenia 2 8 56 2" xfId="26343"/>
    <cellStyle name="Obliczenia 2 8 56 3" xfId="26344"/>
    <cellStyle name="Obliczenia 2 8 57" xfId="26345"/>
    <cellStyle name="Obliczenia 2 8 58" xfId="26346"/>
    <cellStyle name="Obliczenia 2 8 6" xfId="26347"/>
    <cellStyle name="Obliczenia 2 8 6 2" xfId="26348"/>
    <cellStyle name="Obliczenia 2 8 6 3" xfId="26349"/>
    <cellStyle name="Obliczenia 2 8 6 4" xfId="26350"/>
    <cellStyle name="Obliczenia 2 8 7" xfId="26351"/>
    <cellStyle name="Obliczenia 2 8 7 2" xfId="26352"/>
    <cellStyle name="Obliczenia 2 8 7 3" xfId="26353"/>
    <cellStyle name="Obliczenia 2 8 7 4" xfId="26354"/>
    <cellStyle name="Obliczenia 2 8 8" xfId="26355"/>
    <cellStyle name="Obliczenia 2 8 8 2" xfId="26356"/>
    <cellStyle name="Obliczenia 2 8 8 3" xfId="26357"/>
    <cellStyle name="Obliczenia 2 8 8 4" xfId="26358"/>
    <cellStyle name="Obliczenia 2 8 9" xfId="26359"/>
    <cellStyle name="Obliczenia 2 8 9 2" xfId="26360"/>
    <cellStyle name="Obliczenia 2 8 9 3" xfId="26361"/>
    <cellStyle name="Obliczenia 2 8 9 4" xfId="26362"/>
    <cellStyle name="Obliczenia 2 80" xfId="26363"/>
    <cellStyle name="Obliczenia 2 80 2" xfId="26364"/>
    <cellStyle name="Obliczenia 2 80 3" xfId="26365"/>
    <cellStyle name="Obliczenia 2 81" xfId="26366"/>
    <cellStyle name="Obliczenia 2 81 2" xfId="26367"/>
    <cellStyle name="Obliczenia 2 81 3" xfId="26368"/>
    <cellStyle name="Obliczenia 2 82" xfId="26369"/>
    <cellStyle name="Obliczenia 2 82 2" xfId="26370"/>
    <cellStyle name="Obliczenia 2 82 3" xfId="26371"/>
    <cellStyle name="Obliczenia 2 83" xfId="26372"/>
    <cellStyle name="Obliczenia 2 83 2" xfId="26373"/>
    <cellStyle name="Obliczenia 2 83 3" xfId="26374"/>
    <cellStyle name="Obliczenia 2 84" xfId="26375"/>
    <cellStyle name="Obliczenia 2 84 2" xfId="26376"/>
    <cellStyle name="Obliczenia 2 84 3" xfId="26377"/>
    <cellStyle name="Obliczenia 2 85" xfId="26378"/>
    <cellStyle name="Obliczenia 2 85 2" xfId="26379"/>
    <cellStyle name="Obliczenia 2 85 3" xfId="26380"/>
    <cellStyle name="Obliczenia 2 86" xfId="26381"/>
    <cellStyle name="Obliczenia 2 86 2" xfId="26382"/>
    <cellStyle name="Obliczenia 2 86 3" xfId="26383"/>
    <cellStyle name="Obliczenia 2 87" xfId="26384"/>
    <cellStyle name="Obliczenia 2 87 2" xfId="26385"/>
    <cellStyle name="Obliczenia 2 87 3" xfId="26386"/>
    <cellStyle name="Obliczenia 2 88" xfId="26387"/>
    <cellStyle name="Obliczenia 2 89" xfId="26388"/>
    <cellStyle name="Obliczenia 2 9" xfId="26389"/>
    <cellStyle name="Obliczenia 2 9 10" xfId="26390"/>
    <cellStyle name="Obliczenia 2 9 10 2" xfId="26391"/>
    <cellStyle name="Obliczenia 2 9 10 3" xfId="26392"/>
    <cellStyle name="Obliczenia 2 9 10 4" xfId="26393"/>
    <cellStyle name="Obliczenia 2 9 11" xfId="26394"/>
    <cellStyle name="Obliczenia 2 9 11 2" xfId="26395"/>
    <cellStyle name="Obliczenia 2 9 11 3" xfId="26396"/>
    <cellStyle name="Obliczenia 2 9 11 4" xfId="26397"/>
    <cellStyle name="Obliczenia 2 9 12" xfId="26398"/>
    <cellStyle name="Obliczenia 2 9 12 2" xfId="26399"/>
    <cellStyle name="Obliczenia 2 9 12 3" xfId="26400"/>
    <cellStyle name="Obliczenia 2 9 12 4" xfId="26401"/>
    <cellStyle name="Obliczenia 2 9 13" xfId="26402"/>
    <cellStyle name="Obliczenia 2 9 13 2" xfId="26403"/>
    <cellStyle name="Obliczenia 2 9 13 3" xfId="26404"/>
    <cellStyle name="Obliczenia 2 9 13 4" xfId="26405"/>
    <cellStyle name="Obliczenia 2 9 14" xfId="26406"/>
    <cellStyle name="Obliczenia 2 9 14 2" xfId="26407"/>
    <cellStyle name="Obliczenia 2 9 14 3" xfId="26408"/>
    <cellStyle name="Obliczenia 2 9 14 4" xfId="26409"/>
    <cellStyle name="Obliczenia 2 9 15" xfId="26410"/>
    <cellStyle name="Obliczenia 2 9 15 2" xfId="26411"/>
    <cellStyle name="Obliczenia 2 9 15 3" xfId="26412"/>
    <cellStyle name="Obliczenia 2 9 15 4" xfId="26413"/>
    <cellStyle name="Obliczenia 2 9 16" xfId="26414"/>
    <cellStyle name="Obliczenia 2 9 16 2" xfId="26415"/>
    <cellStyle name="Obliczenia 2 9 16 3" xfId="26416"/>
    <cellStyle name="Obliczenia 2 9 16 4" xfId="26417"/>
    <cellStyle name="Obliczenia 2 9 17" xfId="26418"/>
    <cellStyle name="Obliczenia 2 9 17 2" xfId="26419"/>
    <cellStyle name="Obliczenia 2 9 17 3" xfId="26420"/>
    <cellStyle name="Obliczenia 2 9 17 4" xfId="26421"/>
    <cellStyle name="Obliczenia 2 9 18" xfId="26422"/>
    <cellStyle name="Obliczenia 2 9 18 2" xfId="26423"/>
    <cellStyle name="Obliczenia 2 9 18 3" xfId="26424"/>
    <cellStyle name="Obliczenia 2 9 18 4" xfId="26425"/>
    <cellStyle name="Obliczenia 2 9 19" xfId="26426"/>
    <cellStyle name="Obliczenia 2 9 19 2" xfId="26427"/>
    <cellStyle name="Obliczenia 2 9 19 3" xfId="26428"/>
    <cellStyle name="Obliczenia 2 9 19 4" xfId="26429"/>
    <cellStyle name="Obliczenia 2 9 2" xfId="26430"/>
    <cellStyle name="Obliczenia 2 9 2 2" xfId="26431"/>
    <cellStyle name="Obliczenia 2 9 2 3" xfId="26432"/>
    <cellStyle name="Obliczenia 2 9 2 4" xfId="26433"/>
    <cellStyle name="Obliczenia 2 9 20" xfId="26434"/>
    <cellStyle name="Obliczenia 2 9 20 2" xfId="26435"/>
    <cellStyle name="Obliczenia 2 9 20 3" xfId="26436"/>
    <cellStyle name="Obliczenia 2 9 20 4" xfId="26437"/>
    <cellStyle name="Obliczenia 2 9 21" xfId="26438"/>
    <cellStyle name="Obliczenia 2 9 21 2" xfId="26439"/>
    <cellStyle name="Obliczenia 2 9 21 3" xfId="26440"/>
    <cellStyle name="Obliczenia 2 9 22" xfId="26441"/>
    <cellStyle name="Obliczenia 2 9 22 2" xfId="26442"/>
    <cellStyle name="Obliczenia 2 9 22 3" xfId="26443"/>
    <cellStyle name="Obliczenia 2 9 23" xfId="26444"/>
    <cellStyle name="Obliczenia 2 9 23 2" xfId="26445"/>
    <cellStyle name="Obliczenia 2 9 23 3" xfId="26446"/>
    <cellStyle name="Obliczenia 2 9 24" xfId="26447"/>
    <cellStyle name="Obliczenia 2 9 24 2" xfId="26448"/>
    <cellStyle name="Obliczenia 2 9 24 3" xfId="26449"/>
    <cellStyle name="Obliczenia 2 9 25" xfId="26450"/>
    <cellStyle name="Obliczenia 2 9 25 2" xfId="26451"/>
    <cellStyle name="Obliczenia 2 9 25 3" xfId="26452"/>
    <cellStyle name="Obliczenia 2 9 26" xfId="26453"/>
    <cellStyle name="Obliczenia 2 9 26 2" xfId="26454"/>
    <cellStyle name="Obliczenia 2 9 26 3" xfId="26455"/>
    <cellStyle name="Obliczenia 2 9 27" xfId="26456"/>
    <cellStyle name="Obliczenia 2 9 27 2" xfId="26457"/>
    <cellStyle name="Obliczenia 2 9 27 3" xfId="26458"/>
    <cellStyle name="Obliczenia 2 9 28" xfId="26459"/>
    <cellStyle name="Obliczenia 2 9 28 2" xfId="26460"/>
    <cellStyle name="Obliczenia 2 9 28 3" xfId="26461"/>
    <cellStyle name="Obliczenia 2 9 29" xfId="26462"/>
    <cellStyle name="Obliczenia 2 9 29 2" xfId="26463"/>
    <cellStyle name="Obliczenia 2 9 29 3" xfId="26464"/>
    <cellStyle name="Obliczenia 2 9 3" xfId="26465"/>
    <cellStyle name="Obliczenia 2 9 3 2" xfId="26466"/>
    <cellStyle name="Obliczenia 2 9 3 3" xfId="26467"/>
    <cellStyle name="Obliczenia 2 9 3 4" xfId="26468"/>
    <cellStyle name="Obliczenia 2 9 30" xfId="26469"/>
    <cellStyle name="Obliczenia 2 9 30 2" xfId="26470"/>
    <cellStyle name="Obliczenia 2 9 30 3" xfId="26471"/>
    <cellStyle name="Obliczenia 2 9 31" xfId="26472"/>
    <cellStyle name="Obliczenia 2 9 31 2" xfId="26473"/>
    <cellStyle name="Obliczenia 2 9 31 3" xfId="26474"/>
    <cellStyle name="Obliczenia 2 9 32" xfId="26475"/>
    <cellStyle name="Obliczenia 2 9 32 2" xfId="26476"/>
    <cellStyle name="Obliczenia 2 9 32 3" xfId="26477"/>
    <cellStyle name="Obliczenia 2 9 33" xfId="26478"/>
    <cellStyle name="Obliczenia 2 9 33 2" xfId="26479"/>
    <cellStyle name="Obliczenia 2 9 33 3" xfId="26480"/>
    <cellStyle name="Obliczenia 2 9 34" xfId="26481"/>
    <cellStyle name="Obliczenia 2 9 34 2" xfId="26482"/>
    <cellStyle name="Obliczenia 2 9 34 3" xfId="26483"/>
    <cellStyle name="Obliczenia 2 9 35" xfId="26484"/>
    <cellStyle name="Obliczenia 2 9 35 2" xfId="26485"/>
    <cellStyle name="Obliczenia 2 9 35 3" xfId="26486"/>
    <cellStyle name="Obliczenia 2 9 36" xfId="26487"/>
    <cellStyle name="Obliczenia 2 9 36 2" xfId="26488"/>
    <cellStyle name="Obliczenia 2 9 36 3" xfId="26489"/>
    <cellStyle name="Obliczenia 2 9 37" xfId="26490"/>
    <cellStyle name="Obliczenia 2 9 37 2" xfId="26491"/>
    <cellStyle name="Obliczenia 2 9 37 3" xfId="26492"/>
    <cellStyle name="Obliczenia 2 9 38" xfId="26493"/>
    <cellStyle name="Obliczenia 2 9 38 2" xfId="26494"/>
    <cellStyle name="Obliczenia 2 9 38 3" xfId="26495"/>
    <cellStyle name="Obliczenia 2 9 39" xfId="26496"/>
    <cellStyle name="Obliczenia 2 9 39 2" xfId="26497"/>
    <cellStyle name="Obliczenia 2 9 39 3" xfId="26498"/>
    <cellStyle name="Obliczenia 2 9 4" xfId="26499"/>
    <cellStyle name="Obliczenia 2 9 4 2" xfId="26500"/>
    <cellStyle name="Obliczenia 2 9 4 3" xfId="26501"/>
    <cellStyle name="Obliczenia 2 9 4 4" xfId="26502"/>
    <cellStyle name="Obliczenia 2 9 40" xfId="26503"/>
    <cellStyle name="Obliczenia 2 9 40 2" xfId="26504"/>
    <cellStyle name="Obliczenia 2 9 40 3" xfId="26505"/>
    <cellStyle name="Obliczenia 2 9 41" xfId="26506"/>
    <cellStyle name="Obliczenia 2 9 41 2" xfId="26507"/>
    <cellStyle name="Obliczenia 2 9 41 3" xfId="26508"/>
    <cellStyle name="Obliczenia 2 9 42" xfId="26509"/>
    <cellStyle name="Obliczenia 2 9 42 2" xfId="26510"/>
    <cellStyle name="Obliczenia 2 9 42 3" xfId="26511"/>
    <cellStyle name="Obliczenia 2 9 43" xfId="26512"/>
    <cellStyle name="Obliczenia 2 9 43 2" xfId="26513"/>
    <cellStyle name="Obliczenia 2 9 43 3" xfId="26514"/>
    <cellStyle name="Obliczenia 2 9 44" xfId="26515"/>
    <cellStyle name="Obliczenia 2 9 44 2" xfId="26516"/>
    <cellStyle name="Obliczenia 2 9 44 3" xfId="26517"/>
    <cellStyle name="Obliczenia 2 9 45" xfId="26518"/>
    <cellStyle name="Obliczenia 2 9 45 2" xfId="26519"/>
    <cellStyle name="Obliczenia 2 9 45 3" xfId="26520"/>
    <cellStyle name="Obliczenia 2 9 46" xfId="26521"/>
    <cellStyle name="Obliczenia 2 9 46 2" xfId="26522"/>
    <cellStyle name="Obliczenia 2 9 46 3" xfId="26523"/>
    <cellStyle name="Obliczenia 2 9 47" xfId="26524"/>
    <cellStyle name="Obliczenia 2 9 47 2" xfId="26525"/>
    <cellStyle name="Obliczenia 2 9 47 3" xfId="26526"/>
    <cellStyle name="Obliczenia 2 9 48" xfId="26527"/>
    <cellStyle name="Obliczenia 2 9 48 2" xfId="26528"/>
    <cellStyle name="Obliczenia 2 9 48 3" xfId="26529"/>
    <cellStyle name="Obliczenia 2 9 49" xfId="26530"/>
    <cellStyle name="Obliczenia 2 9 49 2" xfId="26531"/>
    <cellStyle name="Obliczenia 2 9 49 3" xfId="26532"/>
    <cellStyle name="Obliczenia 2 9 5" xfId="26533"/>
    <cellStyle name="Obliczenia 2 9 5 2" xfId="26534"/>
    <cellStyle name="Obliczenia 2 9 5 3" xfId="26535"/>
    <cellStyle name="Obliczenia 2 9 5 4" xfId="26536"/>
    <cellStyle name="Obliczenia 2 9 50" xfId="26537"/>
    <cellStyle name="Obliczenia 2 9 50 2" xfId="26538"/>
    <cellStyle name="Obliczenia 2 9 50 3" xfId="26539"/>
    <cellStyle name="Obliczenia 2 9 51" xfId="26540"/>
    <cellStyle name="Obliczenia 2 9 51 2" xfId="26541"/>
    <cellStyle name="Obliczenia 2 9 51 3" xfId="26542"/>
    <cellStyle name="Obliczenia 2 9 52" xfId="26543"/>
    <cellStyle name="Obliczenia 2 9 52 2" xfId="26544"/>
    <cellStyle name="Obliczenia 2 9 52 3" xfId="26545"/>
    <cellStyle name="Obliczenia 2 9 53" xfId="26546"/>
    <cellStyle name="Obliczenia 2 9 53 2" xfId="26547"/>
    <cellStyle name="Obliczenia 2 9 53 3" xfId="26548"/>
    <cellStyle name="Obliczenia 2 9 54" xfId="26549"/>
    <cellStyle name="Obliczenia 2 9 54 2" xfId="26550"/>
    <cellStyle name="Obliczenia 2 9 54 3" xfId="26551"/>
    <cellStyle name="Obliczenia 2 9 55" xfId="26552"/>
    <cellStyle name="Obliczenia 2 9 55 2" xfId="26553"/>
    <cellStyle name="Obliczenia 2 9 55 3" xfId="26554"/>
    <cellStyle name="Obliczenia 2 9 56" xfId="26555"/>
    <cellStyle name="Obliczenia 2 9 56 2" xfId="26556"/>
    <cellStyle name="Obliczenia 2 9 56 3" xfId="26557"/>
    <cellStyle name="Obliczenia 2 9 57" xfId="26558"/>
    <cellStyle name="Obliczenia 2 9 58" xfId="26559"/>
    <cellStyle name="Obliczenia 2 9 6" xfId="26560"/>
    <cellStyle name="Obliczenia 2 9 6 2" xfId="26561"/>
    <cellStyle name="Obliczenia 2 9 6 3" xfId="26562"/>
    <cellStyle name="Obliczenia 2 9 6 4" xfId="26563"/>
    <cellStyle name="Obliczenia 2 9 7" xfId="26564"/>
    <cellStyle name="Obliczenia 2 9 7 2" xfId="26565"/>
    <cellStyle name="Obliczenia 2 9 7 3" xfId="26566"/>
    <cellStyle name="Obliczenia 2 9 7 4" xfId="26567"/>
    <cellStyle name="Obliczenia 2 9 8" xfId="26568"/>
    <cellStyle name="Obliczenia 2 9 8 2" xfId="26569"/>
    <cellStyle name="Obliczenia 2 9 8 3" xfId="26570"/>
    <cellStyle name="Obliczenia 2 9 8 4" xfId="26571"/>
    <cellStyle name="Obliczenia 2 9 9" xfId="26572"/>
    <cellStyle name="Obliczenia 2 9 9 2" xfId="26573"/>
    <cellStyle name="Obliczenia 2 9 9 3" xfId="26574"/>
    <cellStyle name="Obliczenia 2 9 9 4" xfId="26575"/>
    <cellStyle name="Obliczenia 3" xfId="26576"/>
    <cellStyle name="Obliczenia 3 2" xfId="26577"/>
    <cellStyle name="Obliczenia 3 2 2" xfId="26578"/>
    <cellStyle name="Obliczenia 3 3" xfId="26579"/>
    <cellStyle name="Obliczenia 3 4" xfId="26580"/>
    <cellStyle name="Obliczenia 3 5" xfId="26581"/>
    <cellStyle name="Obliczenia 3 6" xfId="26582"/>
    <cellStyle name="Obliczenia 3 7" xfId="26583"/>
    <cellStyle name="Obliczenia 3 8" xfId="26584"/>
    <cellStyle name="Obliczenia 3 9" xfId="26585"/>
    <cellStyle name="Obliczenia 4" xfId="26586"/>
    <cellStyle name="Obliczenia 4 2" xfId="26587"/>
    <cellStyle name="Obliczenia 4 3" xfId="26588"/>
    <cellStyle name="Obliczenia 4 4" xfId="26589"/>
    <cellStyle name="Obliczenia 4 5" xfId="26590"/>
    <cellStyle name="Obliczenia 4 6" xfId="26591"/>
    <cellStyle name="Obliczenia 4 7" xfId="26592"/>
    <cellStyle name="Obliczenia 4 8" xfId="26593"/>
    <cellStyle name="Obliczenia 4 9" xfId="26594"/>
    <cellStyle name="Obliczenia 5" xfId="26595"/>
    <cellStyle name="Obliczenia 5 2" xfId="26596"/>
    <cellStyle name="Obliczenia 5 3" xfId="26597"/>
    <cellStyle name="Obliczenia 6" xfId="26598"/>
    <cellStyle name="Obliczenia 6 2" xfId="26599"/>
    <cellStyle name="Obliczenia 7" xfId="26600"/>
    <cellStyle name="Option" xfId="26601"/>
    <cellStyle name="Output Amounts" xfId="26602"/>
    <cellStyle name="Output Column Headings" xfId="26603"/>
    <cellStyle name="Output Line Items" xfId="26604"/>
    <cellStyle name="Output Report Heading" xfId="26605"/>
    <cellStyle name="Output Report Title" xfId="26606"/>
    <cellStyle name="Pénznem [0]_cb-fr" xfId="26607"/>
    <cellStyle name="Pénznem_cb-fr" xfId="26608"/>
    <cellStyle name="Percent [2]" xfId="26609"/>
    <cellStyle name="Percent 2" xfId="26610"/>
    <cellStyle name="Pivot Table Category" xfId="26611"/>
    <cellStyle name="Pivot Table Corner" xfId="26612"/>
    <cellStyle name="Pivot Table Field" xfId="26613"/>
    <cellStyle name="Pivot Table Result" xfId="26614"/>
    <cellStyle name="Pivot Table Title" xfId="26615"/>
    <cellStyle name="Pivot Table Value" xfId="26616"/>
    <cellStyle name="pole" xfId="26617"/>
    <cellStyle name="Price" xfId="26618"/>
    <cellStyle name="Procentowy" xfId="7" builtinId="5"/>
    <cellStyle name="Procentowy 10" xfId="26619"/>
    <cellStyle name="Procentowy 10 2" xfId="26620"/>
    <cellStyle name="Procentowy 10 3" xfId="26621"/>
    <cellStyle name="Procentowy 10 4" xfId="26622"/>
    <cellStyle name="Procentowy 10 5" xfId="26623"/>
    <cellStyle name="Procentowy 10 6" xfId="26624"/>
    <cellStyle name="Procentowy 10 7" xfId="26625"/>
    <cellStyle name="Procentowy 11" xfId="26626"/>
    <cellStyle name="Procentowy 12" xfId="26627"/>
    <cellStyle name="Procentowy 13" xfId="42847"/>
    <cellStyle name="Procentowy 14" xfId="42850"/>
    <cellStyle name="Procentowy 2" xfId="2"/>
    <cellStyle name="Procentowy 2 10" xfId="26629"/>
    <cellStyle name="Procentowy 2 11" xfId="26630"/>
    <cellStyle name="Procentowy 2 12" xfId="26628"/>
    <cellStyle name="Procentowy 2 2" xfId="26631"/>
    <cellStyle name="Procentowy 2 2 2" xfId="26632"/>
    <cellStyle name="Procentowy 2 2 2 2" xfId="26633"/>
    <cellStyle name="Procentowy 2 2 2 3" xfId="26634"/>
    <cellStyle name="Procentowy 2 2 3" xfId="26635"/>
    <cellStyle name="Procentowy 2 2 3 2" xfId="26636"/>
    <cellStyle name="Procentowy 2 2 3 3" xfId="26637"/>
    <cellStyle name="Procentowy 2 2 4" xfId="26638"/>
    <cellStyle name="Procentowy 2 2 5" xfId="26639"/>
    <cellStyle name="Procentowy 2 2 6" xfId="26640"/>
    <cellStyle name="Procentowy 2 2 7" xfId="26641"/>
    <cellStyle name="Procentowy 2 3" xfId="26642"/>
    <cellStyle name="Procentowy 2 3 2" xfId="26643"/>
    <cellStyle name="Procentowy 2 3 3" xfId="26644"/>
    <cellStyle name="Procentowy 2 4" xfId="26645"/>
    <cellStyle name="Procentowy 2 4 2" xfId="26646"/>
    <cellStyle name="Procentowy 2 5" xfId="26647"/>
    <cellStyle name="Procentowy 2 5 2" xfId="26648"/>
    <cellStyle name="Procentowy 2 6" xfId="26649"/>
    <cellStyle name="Procentowy 2 6 2" xfId="26650"/>
    <cellStyle name="Procentowy 2 7" xfId="26651"/>
    <cellStyle name="Procentowy 2 7 2" xfId="26652"/>
    <cellStyle name="Procentowy 2 8" xfId="26653"/>
    <cellStyle name="Procentowy 2 9" xfId="26654"/>
    <cellStyle name="Procentowy 3" xfId="6"/>
    <cellStyle name="Procentowy 3 10" xfId="26656"/>
    <cellStyle name="Procentowy 3 10 10" xfId="26657"/>
    <cellStyle name="Procentowy 3 10 10 2" xfId="26658"/>
    <cellStyle name="Procentowy 3 10 11" xfId="26659"/>
    <cellStyle name="Procentowy 3 10 11 2" xfId="26660"/>
    <cellStyle name="Procentowy 3 10 12" xfId="26661"/>
    <cellStyle name="Procentowy 3 10 12 2" xfId="26662"/>
    <cellStyle name="Procentowy 3 10 13" xfId="26663"/>
    <cellStyle name="Procentowy 3 10 13 2" xfId="26664"/>
    <cellStyle name="Procentowy 3 10 14" xfId="26665"/>
    <cellStyle name="Procentowy 3 10 14 2" xfId="26666"/>
    <cellStyle name="Procentowy 3 10 15" xfId="26667"/>
    <cellStyle name="Procentowy 3 10 15 2" xfId="26668"/>
    <cellStyle name="Procentowy 3 10 16" xfId="26669"/>
    <cellStyle name="Procentowy 3 10 16 2" xfId="26670"/>
    <cellStyle name="Procentowy 3 10 17" xfId="26671"/>
    <cellStyle name="Procentowy 3 10 17 2" xfId="26672"/>
    <cellStyle name="Procentowy 3 10 18" xfId="26673"/>
    <cellStyle name="Procentowy 3 10 18 2" xfId="26674"/>
    <cellStyle name="Procentowy 3 10 19" xfId="26675"/>
    <cellStyle name="Procentowy 3 10 19 2" xfId="26676"/>
    <cellStyle name="Procentowy 3 10 2" xfId="26677"/>
    <cellStyle name="Procentowy 3 10 2 2" xfId="26678"/>
    <cellStyle name="Procentowy 3 10 2 3" xfId="26679"/>
    <cellStyle name="Procentowy 3 10 2 4" xfId="26680"/>
    <cellStyle name="Procentowy 3 10 2 5" xfId="26681"/>
    <cellStyle name="Procentowy 3 10 2 6" xfId="26682"/>
    <cellStyle name="Procentowy 3 10 2 7" xfId="26683"/>
    <cellStyle name="Procentowy 3 10 20" xfId="26684"/>
    <cellStyle name="Procentowy 3 10 20 2" xfId="26685"/>
    <cellStyle name="Procentowy 3 10 21" xfId="26686"/>
    <cellStyle name="Procentowy 3 10 21 2" xfId="26687"/>
    <cellStyle name="Procentowy 3 10 22" xfId="26688"/>
    <cellStyle name="Procentowy 3 10 22 2" xfId="26689"/>
    <cellStyle name="Procentowy 3 10 23" xfId="26690"/>
    <cellStyle name="Procentowy 3 10 23 2" xfId="26691"/>
    <cellStyle name="Procentowy 3 10 24" xfId="26692"/>
    <cellStyle name="Procentowy 3 10 24 2" xfId="26693"/>
    <cellStyle name="Procentowy 3 10 25" xfId="26694"/>
    <cellStyle name="Procentowy 3 10 25 2" xfId="26695"/>
    <cellStyle name="Procentowy 3 10 26" xfId="26696"/>
    <cellStyle name="Procentowy 3 10 26 2" xfId="26697"/>
    <cellStyle name="Procentowy 3 10 27" xfId="26698"/>
    <cellStyle name="Procentowy 3 10 27 2" xfId="26699"/>
    <cellStyle name="Procentowy 3 10 28" xfId="26700"/>
    <cellStyle name="Procentowy 3 10 28 2" xfId="26701"/>
    <cellStyle name="Procentowy 3 10 29" xfId="26702"/>
    <cellStyle name="Procentowy 3 10 29 2" xfId="26703"/>
    <cellStyle name="Procentowy 3 10 3" xfId="26704"/>
    <cellStyle name="Procentowy 3 10 3 2" xfId="26705"/>
    <cellStyle name="Procentowy 3 10 3 3" xfId="26706"/>
    <cellStyle name="Procentowy 3 10 3 4" xfId="26707"/>
    <cellStyle name="Procentowy 3 10 3 5" xfId="26708"/>
    <cellStyle name="Procentowy 3 10 3 6" xfId="26709"/>
    <cellStyle name="Procentowy 3 10 3 7" xfId="26710"/>
    <cellStyle name="Procentowy 3 10 30" xfId="26711"/>
    <cellStyle name="Procentowy 3 10 30 2" xfId="26712"/>
    <cellStyle name="Procentowy 3 10 31" xfId="26713"/>
    <cellStyle name="Procentowy 3 10 31 2" xfId="26714"/>
    <cellStyle name="Procentowy 3 10 32" xfId="26715"/>
    <cellStyle name="Procentowy 3 10 33" xfId="26716"/>
    <cellStyle name="Procentowy 3 10 34" xfId="26717"/>
    <cellStyle name="Procentowy 3 10 35" xfId="26718"/>
    <cellStyle name="Procentowy 3 10 36" xfId="26719"/>
    <cellStyle name="Procentowy 3 10 37" xfId="26720"/>
    <cellStyle name="Procentowy 3 10 38" xfId="26721"/>
    <cellStyle name="Procentowy 3 10 39" xfId="26722"/>
    <cellStyle name="Procentowy 3 10 4" xfId="26723"/>
    <cellStyle name="Procentowy 3 10 4 2" xfId="26724"/>
    <cellStyle name="Procentowy 3 10 4 3" xfId="26725"/>
    <cellStyle name="Procentowy 3 10 4 4" xfId="26726"/>
    <cellStyle name="Procentowy 3 10 4 5" xfId="26727"/>
    <cellStyle name="Procentowy 3 10 4 6" xfId="26728"/>
    <cellStyle name="Procentowy 3 10 4 7" xfId="26729"/>
    <cellStyle name="Procentowy 3 10 40" xfId="26730"/>
    <cellStyle name="Procentowy 3 10 41" xfId="26731"/>
    <cellStyle name="Procentowy 3 10 42" xfId="26732"/>
    <cellStyle name="Procentowy 3 10 43" xfId="26733"/>
    <cellStyle name="Procentowy 3 10 44" xfId="26734"/>
    <cellStyle name="Procentowy 3 10 45" xfId="26735"/>
    <cellStyle name="Procentowy 3 10 46" xfId="26736"/>
    <cellStyle name="Procentowy 3 10 47" xfId="26737"/>
    <cellStyle name="Procentowy 3 10 48" xfId="26738"/>
    <cellStyle name="Procentowy 3 10 49" xfId="26739"/>
    <cellStyle name="Procentowy 3 10 5" xfId="26740"/>
    <cellStyle name="Procentowy 3 10 5 2" xfId="26741"/>
    <cellStyle name="Procentowy 3 10 5 3" xfId="26742"/>
    <cellStyle name="Procentowy 3 10 5 4" xfId="26743"/>
    <cellStyle name="Procentowy 3 10 5 5" xfId="26744"/>
    <cellStyle name="Procentowy 3 10 5 6" xfId="26745"/>
    <cellStyle name="Procentowy 3 10 5 7" xfId="26746"/>
    <cellStyle name="Procentowy 3 10 50" xfId="26747"/>
    <cellStyle name="Procentowy 3 10 51" xfId="26748"/>
    <cellStyle name="Procentowy 3 10 52" xfId="26749"/>
    <cellStyle name="Procentowy 3 10 53" xfId="26750"/>
    <cellStyle name="Procentowy 3 10 54" xfId="26751"/>
    <cellStyle name="Procentowy 3 10 55" xfId="26752"/>
    <cellStyle name="Procentowy 3 10 56" xfId="26753"/>
    <cellStyle name="Procentowy 3 10 57" xfId="26754"/>
    <cellStyle name="Procentowy 3 10 58" xfId="26755"/>
    <cellStyle name="Procentowy 3 10 59" xfId="26756"/>
    <cellStyle name="Procentowy 3 10 6" xfId="26757"/>
    <cellStyle name="Procentowy 3 10 6 2" xfId="26758"/>
    <cellStyle name="Procentowy 3 10 60" xfId="26759"/>
    <cellStyle name="Procentowy 3 10 61" xfId="26760"/>
    <cellStyle name="Procentowy 3 10 62" xfId="26761"/>
    <cellStyle name="Procentowy 3 10 63" xfId="26762"/>
    <cellStyle name="Procentowy 3 10 64" xfId="26763"/>
    <cellStyle name="Procentowy 3 10 65" xfId="26764"/>
    <cellStyle name="Procentowy 3 10 66" xfId="26765"/>
    <cellStyle name="Procentowy 3 10 67" xfId="26766"/>
    <cellStyle name="Procentowy 3 10 68" xfId="26767"/>
    <cellStyle name="Procentowy 3 10 69" xfId="26768"/>
    <cellStyle name="Procentowy 3 10 7" xfId="26769"/>
    <cellStyle name="Procentowy 3 10 7 2" xfId="26770"/>
    <cellStyle name="Procentowy 3 10 70" xfId="26771"/>
    <cellStyle name="Procentowy 3 10 71" xfId="26772"/>
    <cellStyle name="Procentowy 3 10 72" xfId="26773"/>
    <cellStyle name="Procentowy 3 10 73" xfId="26774"/>
    <cellStyle name="Procentowy 3 10 74" xfId="26775"/>
    <cellStyle name="Procentowy 3 10 8" xfId="26776"/>
    <cellStyle name="Procentowy 3 10 8 2" xfId="26777"/>
    <cellStyle name="Procentowy 3 10 9" xfId="26778"/>
    <cellStyle name="Procentowy 3 10 9 2" xfId="26779"/>
    <cellStyle name="Procentowy 3 11" xfId="26780"/>
    <cellStyle name="Procentowy 3 11 10" xfId="26781"/>
    <cellStyle name="Procentowy 3 11 10 2" xfId="26782"/>
    <cellStyle name="Procentowy 3 11 11" xfId="26783"/>
    <cellStyle name="Procentowy 3 11 11 2" xfId="26784"/>
    <cellStyle name="Procentowy 3 11 12" xfId="26785"/>
    <cellStyle name="Procentowy 3 11 12 2" xfId="26786"/>
    <cellStyle name="Procentowy 3 11 13" xfId="26787"/>
    <cellStyle name="Procentowy 3 11 13 2" xfId="26788"/>
    <cellStyle name="Procentowy 3 11 14" xfId="26789"/>
    <cellStyle name="Procentowy 3 11 14 2" xfId="26790"/>
    <cellStyle name="Procentowy 3 11 15" xfId="26791"/>
    <cellStyle name="Procentowy 3 11 15 2" xfId="26792"/>
    <cellStyle name="Procentowy 3 11 16" xfId="26793"/>
    <cellStyle name="Procentowy 3 11 16 2" xfId="26794"/>
    <cellStyle name="Procentowy 3 11 17" xfId="26795"/>
    <cellStyle name="Procentowy 3 11 17 2" xfId="26796"/>
    <cellStyle name="Procentowy 3 11 18" xfId="26797"/>
    <cellStyle name="Procentowy 3 11 18 2" xfId="26798"/>
    <cellStyle name="Procentowy 3 11 19" xfId="26799"/>
    <cellStyle name="Procentowy 3 11 19 2" xfId="26800"/>
    <cellStyle name="Procentowy 3 11 2" xfId="26801"/>
    <cellStyle name="Procentowy 3 11 2 2" xfId="26802"/>
    <cellStyle name="Procentowy 3 11 2 3" xfId="26803"/>
    <cellStyle name="Procentowy 3 11 2 4" xfId="26804"/>
    <cellStyle name="Procentowy 3 11 2 5" xfId="26805"/>
    <cellStyle name="Procentowy 3 11 2 6" xfId="26806"/>
    <cellStyle name="Procentowy 3 11 2 7" xfId="26807"/>
    <cellStyle name="Procentowy 3 11 20" xfId="26808"/>
    <cellStyle name="Procentowy 3 11 20 2" xfId="26809"/>
    <cellStyle name="Procentowy 3 11 21" xfId="26810"/>
    <cellStyle name="Procentowy 3 11 21 2" xfId="26811"/>
    <cellStyle name="Procentowy 3 11 22" xfId="26812"/>
    <cellStyle name="Procentowy 3 11 22 2" xfId="26813"/>
    <cellStyle name="Procentowy 3 11 23" xfId="26814"/>
    <cellStyle name="Procentowy 3 11 23 2" xfId="26815"/>
    <cellStyle name="Procentowy 3 11 24" xfId="26816"/>
    <cellStyle name="Procentowy 3 11 24 2" xfId="26817"/>
    <cellStyle name="Procentowy 3 11 25" xfId="26818"/>
    <cellStyle name="Procentowy 3 11 25 2" xfId="26819"/>
    <cellStyle name="Procentowy 3 11 26" xfId="26820"/>
    <cellStyle name="Procentowy 3 11 26 2" xfId="26821"/>
    <cellStyle name="Procentowy 3 11 27" xfId="26822"/>
    <cellStyle name="Procentowy 3 11 27 2" xfId="26823"/>
    <cellStyle name="Procentowy 3 11 28" xfId="26824"/>
    <cellStyle name="Procentowy 3 11 28 2" xfId="26825"/>
    <cellStyle name="Procentowy 3 11 29" xfId="26826"/>
    <cellStyle name="Procentowy 3 11 29 2" xfId="26827"/>
    <cellStyle name="Procentowy 3 11 3" xfId="26828"/>
    <cellStyle name="Procentowy 3 11 3 2" xfId="26829"/>
    <cellStyle name="Procentowy 3 11 3 3" xfId="26830"/>
    <cellStyle name="Procentowy 3 11 3 4" xfId="26831"/>
    <cellStyle name="Procentowy 3 11 3 5" xfId="26832"/>
    <cellStyle name="Procentowy 3 11 3 6" xfId="26833"/>
    <cellStyle name="Procentowy 3 11 3 7" xfId="26834"/>
    <cellStyle name="Procentowy 3 11 30" xfId="26835"/>
    <cellStyle name="Procentowy 3 11 30 2" xfId="26836"/>
    <cellStyle name="Procentowy 3 11 31" xfId="26837"/>
    <cellStyle name="Procentowy 3 11 31 2" xfId="26838"/>
    <cellStyle name="Procentowy 3 11 32" xfId="26839"/>
    <cellStyle name="Procentowy 3 11 33" xfId="26840"/>
    <cellStyle name="Procentowy 3 11 34" xfId="26841"/>
    <cellStyle name="Procentowy 3 11 35" xfId="26842"/>
    <cellStyle name="Procentowy 3 11 36" xfId="26843"/>
    <cellStyle name="Procentowy 3 11 37" xfId="26844"/>
    <cellStyle name="Procentowy 3 11 38" xfId="26845"/>
    <cellStyle name="Procentowy 3 11 39" xfId="26846"/>
    <cellStyle name="Procentowy 3 11 4" xfId="26847"/>
    <cellStyle name="Procentowy 3 11 4 2" xfId="26848"/>
    <cellStyle name="Procentowy 3 11 4 3" xfId="26849"/>
    <cellStyle name="Procentowy 3 11 4 4" xfId="26850"/>
    <cellStyle name="Procentowy 3 11 4 5" xfId="26851"/>
    <cellStyle name="Procentowy 3 11 4 6" xfId="26852"/>
    <cellStyle name="Procentowy 3 11 4 7" xfId="26853"/>
    <cellStyle name="Procentowy 3 11 40" xfId="26854"/>
    <cellStyle name="Procentowy 3 11 41" xfId="26855"/>
    <cellStyle name="Procentowy 3 11 42" xfId="26856"/>
    <cellStyle name="Procentowy 3 11 43" xfId="26857"/>
    <cellStyle name="Procentowy 3 11 44" xfId="26858"/>
    <cellStyle name="Procentowy 3 11 45" xfId="26859"/>
    <cellStyle name="Procentowy 3 11 46" xfId="26860"/>
    <cellStyle name="Procentowy 3 11 47" xfId="26861"/>
    <cellStyle name="Procentowy 3 11 48" xfId="26862"/>
    <cellStyle name="Procentowy 3 11 49" xfId="26863"/>
    <cellStyle name="Procentowy 3 11 5" xfId="26864"/>
    <cellStyle name="Procentowy 3 11 5 2" xfId="26865"/>
    <cellStyle name="Procentowy 3 11 5 3" xfId="26866"/>
    <cellStyle name="Procentowy 3 11 5 4" xfId="26867"/>
    <cellStyle name="Procentowy 3 11 5 5" xfId="26868"/>
    <cellStyle name="Procentowy 3 11 5 6" xfId="26869"/>
    <cellStyle name="Procentowy 3 11 5 7" xfId="26870"/>
    <cellStyle name="Procentowy 3 11 50" xfId="26871"/>
    <cellStyle name="Procentowy 3 11 51" xfId="26872"/>
    <cellStyle name="Procentowy 3 11 52" xfId="26873"/>
    <cellStyle name="Procentowy 3 11 53" xfId="26874"/>
    <cellStyle name="Procentowy 3 11 54" xfId="26875"/>
    <cellStyle name="Procentowy 3 11 55" xfId="26876"/>
    <cellStyle name="Procentowy 3 11 56" xfId="26877"/>
    <cellStyle name="Procentowy 3 11 57" xfId="26878"/>
    <cellStyle name="Procentowy 3 11 58" xfId="26879"/>
    <cellStyle name="Procentowy 3 11 59" xfId="26880"/>
    <cellStyle name="Procentowy 3 11 6" xfId="26881"/>
    <cellStyle name="Procentowy 3 11 6 2" xfId="26882"/>
    <cellStyle name="Procentowy 3 11 60" xfId="26883"/>
    <cellStyle name="Procentowy 3 11 61" xfId="26884"/>
    <cellStyle name="Procentowy 3 11 62" xfId="26885"/>
    <cellStyle name="Procentowy 3 11 63" xfId="26886"/>
    <cellStyle name="Procentowy 3 11 64" xfId="26887"/>
    <cellStyle name="Procentowy 3 11 65" xfId="26888"/>
    <cellStyle name="Procentowy 3 11 66" xfId="26889"/>
    <cellStyle name="Procentowy 3 11 67" xfId="26890"/>
    <cellStyle name="Procentowy 3 11 68" xfId="26891"/>
    <cellStyle name="Procentowy 3 11 69" xfId="26892"/>
    <cellStyle name="Procentowy 3 11 7" xfId="26893"/>
    <cellStyle name="Procentowy 3 11 7 2" xfId="26894"/>
    <cellStyle name="Procentowy 3 11 70" xfId="26895"/>
    <cellStyle name="Procentowy 3 11 71" xfId="26896"/>
    <cellStyle name="Procentowy 3 11 72" xfId="26897"/>
    <cellStyle name="Procentowy 3 11 73" xfId="26898"/>
    <cellStyle name="Procentowy 3 11 74" xfId="26899"/>
    <cellStyle name="Procentowy 3 11 8" xfId="26900"/>
    <cellStyle name="Procentowy 3 11 8 2" xfId="26901"/>
    <cellStyle name="Procentowy 3 11 9" xfId="26902"/>
    <cellStyle name="Procentowy 3 11 9 2" xfId="26903"/>
    <cellStyle name="Procentowy 3 12" xfId="26904"/>
    <cellStyle name="Procentowy 3 12 10" xfId="26905"/>
    <cellStyle name="Procentowy 3 12 10 2" xfId="26906"/>
    <cellStyle name="Procentowy 3 12 11" xfId="26907"/>
    <cellStyle name="Procentowy 3 12 11 2" xfId="26908"/>
    <cellStyle name="Procentowy 3 12 12" xfId="26909"/>
    <cellStyle name="Procentowy 3 12 12 2" xfId="26910"/>
    <cellStyle name="Procentowy 3 12 13" xfId="26911"/>
    <cellStyle name="Procentowy 3 12 13 2" xfId="26912"/>
    <cellStyle name="Procentowy 3 12 14" xfId="26913"/>
    <cellStyle name="Procentowy 3 12 14 2" xfId="26914"/>
    <cellStyle name="Procentowy 3 12 15" xfId="26915"/>
    <cellStyle name="Procentowy 3 12 15 2" xfId="26916"/>
    <cellStyle name="Procentowy 3 12 16" xfId="26917"/>
    <cellStyle name="Procentowy 3 12 16 2" xfId="26918"/>
    <cellStyle name="Procentowy 3 12 17" xfId="26919"/>
    <cellStyle name="Procentowy 3 12 17 2" xfId="26920"/>
    <cellStyle name="Procentowy 3 12 18" xfId="26921"/>
    <cellStyle name="Procentowy 3 12 18 2" xfId="26922"/>
    <cellStyle name="Procentowy 3 12 19" xfId="26923"/>
    <cellStyle name="Procentowy 3 12 19 2" xfId="26924"/>
    <cellStyle name="Procentowy 3 12 2" xfId="26925"/>
    <cellStyle name="Procentowy 3 12 2 2" xfId="26926"/>
    <cellStyle name="Procentowy 3 12 2 3" xfId="26927"/>
    <cellStyle name="Procentowy 3 12 2 4" xfId="26928"/>
    <cellStyle name="Procentowy 3 12 2 5" xfId="26929"/>
    <cellStyle name="Procentowy 3 12 2 6" xfId="26930"/>
    <cellStyle name="Procentowy 3 12 2 7" xfId="26931"/>
    <cellStyle name="Procentowy 3 12 20" xfId="26932"/>
    <cellStyle name="Procentowy 3 12 20 2" xfId="26933"/>
    <cellStyle name="Procentowy 3 12 21" xfId="26934"/>
    <cellStyle name="Procentowy 3 12 21 2" xfId="26935"/>
    <cellStyle name="Procentowy 3 12 22" xfId="26936"/>
    <cellStyle name="Procentowy 3 12 22 2" xfId="26937"/>
    <cellStyle name="Procentowy 3 12 23" xfId="26938"/>
    <cellStyle name="Procentowy 3 12 23 2" xfId="26939"/>
    <cellStyle name="Procentowy 3 12 24" xfId="26940"/>
    <cellStyle name="Procentowy 3 12 24 2" xfId="26941"/>
    <cellStyle name="Procentowy 3 12 25" xfId="26942"/>
    <cellStyle name="Procentowy 3 12 25 2" xfId="26943"/>
    <cellStyle name="Procentowy 3 12 26" xfId="26944"/>
    <cellStyle name="Procentowy 3 12 26 2" xfId="26945"/>
    <cellStyle name="Procentowy 3 12 27" xfId="26946"/>
    <cellStyle name="Procentowy 3 12 27 2" xfId="26947"/>
    <cellStyle name="Procentowy 3 12 28" xfId="26948"/>
    <cellStyle name="Procentowy 3 12 28 2" xfId="26949"/>
    <cellStyle name="Procentowy 3 12 29" xfId="26950"/>
    <cellStyle name="Procentowy 3 12 29 2" xfId="26951"/>
    <cellStyle name="Procentowy 3 12 3" xfId="26952"/>
    <cellStyle name="Procentowy 3 12 3 2" xfId="26953"/>
    <cellStyle name="Procentowy 3 12 3 3" xfId="26954"/>
    <cellStyle name="Procentowy 3 12 3 4" xfId="26955"/>
    <cellStyle name="Procentowy 3 12 3 5" xfId="26956"/>
    <cellStyle name="Procentowy 3 12 3 6" xfId="26957"/>
    <cellStyle name="Procentowy 3 12 3 7" xfId="26958"/>
    <cellStyle name="Procentowy 3 12 30" xfId="26959"/>
    <cellStyle name="Procentowy 3 12 30 2" xfId="26960"/>
    <cellStyle name="Procentowy 3 12 31" xfId="26961"/>
    <cellStyle name="Procentowy 3 12 31 2" xfId="26962"/>
    <cellStyle name="Procentowy 3 12 32" xfId="26963"/>
    <cellStyle name="Procentowy 3 12 33" xfId="26964"/>
    <cellStyle name="Procentowy 3 12 34" xfId="26965"/>
    <cellStyle name="Procentowy 3 12 35" xfId="26966"/>
    <cellStyle name="Procentowy 3 12 36" xfId="26967"/>
    <cellStyle name="Procentowy 3 12 37" xfId="26968"/>
    <cellStyle name="Procentowy 3 12 38" xfId="26969"/>
    <cellStyle name="Procentowy 3 12 39" xfId="26970"/>
    <cellStyle name="Procentowy 3 12 4" xfId="26971"/>
    <cellStyle name="Procentowy 3 12 4 2" xfId="26972"/>
    <cellStyle name="Procentowy 3 12 4 3" xfId="26973"/>
    <cellStyle name="Procentowy 3 12 4 4" xfId="26974"/>
    <cellStyle name="Procentowy 3 12 4 5" xfId="26975"/>
    <cellStyle name="Procentowy 3 12 4 6" xfId="26976"/>
    <cellStyle name="Procentowy 3 12 4 7" xfId="26977"/>
    <cellStyle name="Procentowy 3 12 40" xfId="26978"/>
    <cellStyle name="Procentowy 3 12 41" xfId="26979"/>
    <cellStyle name="Procentowy 3 12 42" xfId="26980"/>
    <cellStyle name="Procentowy 3 12 43" xfId="26981"/>
    <cellStyle name="Procentowy 3 12 44" xfId="26982"/>
    <cellStyle name="Procentowy 3 12 45" xfId="26983"/>
    <cellStyle name="Procentowy 3 12 46" xfId="26984"/>
    <cellStyle name="Procentowy 3 12 47" xfId="26985"/>
    <cellStyle name="Procentowy 3 12 48" xfId="26986"/>
    <cellStyle name="Procentowy 3 12 49" xfId="26987"/>
    <cellStyle name="Procentowy 3 12 5" xfId="26988"/>
    <cellStyle name="Procentowy 3 12 5 2" xfId="26989"/>
    <cellStyle name="Procentowy 3 12 5 3" xfId="26990"/>
    <cellStyle name="Procentowy 3 12 5 4" xfId="26991"/>
    <cellStyle name="Procentowy 3 12 5 5" xfId="26992"/>
    <cellStyle name="Procentowy 3 12 5 6" xfId="26993"/>
    <cellStyle name="Procentowy 3 12 5 7" xfId="26994"/>
    <cellStyle name="Procentowy 3 12 50" xfId="26995"/>
    <cellStyle name="Procentowy 3 12 51" xfId="26996"/>
    <cellStyle name="Procentowy 3 12 52" xfId="26997"/>
    <cellStyle name="Procentowy 3 12 53" xfId="26998"/>
    <cellStyle name="Procentowy 3 12 54" xfId="26999"/>
    <cellStyle name="Procentowy 3 12 55" xfId="27000"/>
    <cellStyle name="Procentowy 3 12 56" xfId="27001"/>
    <cellStyle name="Procentowy 3 12 57" xfId="27002"/>
    <cellStyle name="Procentowy 3 12 58" xfId="27003"/>
    <cellStyle name="Procentowy 3 12 59" xfId="27004"/>
    <cellStyle name="Procentowy 3 12 6" xfId="27005"/>
    <cellStyle name="Procentowy 3 12 6 2" xfId="27006"/>
    <cellStyle name="Procentowy 3 12 60" xfId="27007"/>
    <cellStyle name="Procentowy 3 12 61" xfId="27008"/>
    <cellStyle name="Procentowy 3 12 62" xfId="27009"/>
    <cellStyle name="Procentowy 3 12 63" xfId="27010"/>
    <cellStyle name="Procentowy 3 12 64" xfId="27011"/>
    <cellStyle name="Procentowy 3 12 65" xfId="27012"/>
    <cellStyle name="Procentowy 3 12 66" xfId="27013"/>
    <cellStyle name="Procentowy 3 12 67" xfId="27014"/>
    <cellStyle name="Procentowy 3 12 68" xfId="27015"/>
    <cellStyle name="Procentowy 3 12 69" xfId="27016"/>
    <cellStyle name="Procentowy 3 12 7" xfId="27017"/>
    <cellStyle name="Procentowy 3 12 7 2" xfId="27018"/>
    <cellStyle name="Procentowy 3 12 70" xfId="27019"/>
    <cellStyle name="Procentowy 3 12 71" xfId="27020"/>
    <cellStyle name="Procentowy 3 12 72" xfId="27021"/>
    <cellStyle name="Procentowy 3 12 73" xfId="27022"/>
    <cellStyle name="Procentowy 3 12 74" xfId="27023"/>
    <cellStyle name="Procentowy 3 12 8" xfId="27024"/>
    <cellStyle name="Procentowy 3 12 8 2" xfId="27025"/>
    <cellStyle name="Procentowy 3 12 9" xfId="27026"/>
    <cellStyle name="Procentowy 3 12 9 2" xfId="27027"/>
    <cellStyle name="Procentowy 3 13" xfId="27028"/>
    <cellStyle name="Procentowy 3 13 10" xfId="27029"/>
    <cellStyle name="Procentowy 3 13 10 2" xfId="27030"/>
    <cellStyle name="Procentowy 3 13 11" xfId="27031"/>
    <cellStyle name="Procentowy 3 13 11 2" xfId="27032"/>
    <cellStyle name="Procentowy 3 13 12" xfId="27033"/>
    <cellStyle name="Procentowy 3 13 12 2" xfId="27034"/>
    <cellStyle name="Procentowy 3 13 13" xfId="27035"/>
    <cellStyle name="Procentowy 3 13 13 2" xfId="27036"/>
    <cellStyle name="Procentowy 3 13 14" xfId="27037"/>
    <cellStyle name="Procentowy 3 13 14 2" xfId="27038"/>
    <cellStyle name="Procentowy 3 13 15" xfId="27039"/>
    <cellStyle name="Procentowy 3 13 15 2" xfId="27040"/>
    <cellStyle name="Procentowy 3 13 16" xfId="27041"/>
    <cellStyle name="Procentowy 3 13 16 2" xfId="27042"/>
    <cellStyle name="Procentowy 3 13 17" xfId="27043"/>
    <cellStyle name="Procentowy 3 13 17 2" xfId="27044"/>
    <cellStyle name="Procentowy 3 13 18" xfId="27045"/>
    <cellStyle name="Procentowy 3 13 18 2" xfId="27046"/>
    <cellStyle name="Procentowy 3 13 19" xfId="27047"/>
    <cellStyle name="Procentowy 3 13 19 2" xfId="27048"/>
    <cellStyle name="Procentowy 3 13 2" xfId="27049"/>
    <cellStyle name="Procentowy 3 13 2 2" xfId="27050"/>
    <cellStyle name="Procentowy 3 13 2 3" xfId="27051"/>
    <cellStyle name="Procentowy 3 13 2 4" xfId="27052"/>
    <cellStyle name="Procentowy 3 13 2 5" xfId="27053"/>
    <cellStyle name="Procentowy 3 13 2 6" xfId="27054"/>
    <cellStyle name="Procentowy 3 13 2 7" xfId="27055"/>
    <cellStyle name="Procentowy 3 13 20" xfId="27056"/>
    <cellStyle name="Procentowy 3 13 20 2" xfId="27057"/>
    <cellStyle name="Procentowy 3 13 21" xfId="27058"/>
    <cellStyle name="Procentowy 3 13 21 2" xfId="27059"/>
    <cellStyle name="Procentowy 3 13 22" xfId="27060"/>
    <cellStyle name="Procentowy 3 13 22 2" xfId="27061"/>
    <cellStyle name="Procentowy 3 13 23" xfId="27062"/>
    <cellStyle name="Procentowy 3 13 23 2" xfId="27063"/>
    <cellStyle name="Procentowy 3 13 24" xfId="27064"/>
    <cellStyle name="Procentowy 3 13 24 2" xfId="27065"/>
    <cellStyle name="Procentowy 3 13 25" xfId="27066"/>
    <cellStyle name="Procentowy 3 13 25 2" xfId="27067"/>
    <cellStyle name="Procentowy 3 13 26" xfId="27068"/>
    <cellStyle name="Procentowy 3 13 26 2" xfId="27069"/>
    <cellStyle name="Procentowy 3 13 27" xfId="27070"/>
    <cellStyle name="Procentowy 3 13 27 2" xfId="27071"/>
    <cellStyle name="Procentowy 3 13 28" xfId="27072"/>
    <cellStyle name="Procentowy 3 13 28 2" xfId="27073"/>
    <cellStyle name="Procentowy 3 13 29" xfId="27074"/>
    <cellStyle name="Procentowy 3 13 29 2" xfId="27075"/>
    <cellStyle name="Procentowy 3 13 3" xfId="27076"/>
    <cellStyle name="Procentowy 3 13 3 2" xfId="27077"/>
    <cellStyle name="Procentowy 3 13 3 3" xfId="27078"/>
    <cellStyle name="Procentowy 3 13 3 4" xfId="27079"/>
    <cellStyle name="Procentowy 3 13 3 5" xfId="27080"/>
    <cellStyle name="Procentowy 3 13 3 6" xfId="27081"/>
    <cellStyle name="Procentowy 3 13 3 7" xfId="27082"/>
    <cellStyle name="Procentowy 3 13 30" xfId="27083"/>
    <cellStyle name="Procentowy 3 13 30 2" xfId="27084"/>
    <cellStyle name="Procentowy 3 13 31" xfId="27085"/>
    <cellStyle name="Procentowy 3 13 31 2" xfId="27086"/>
    <cellStyle name="Procentowy 3 13 32" xfId="27087"/>
    <cellStyle name="Procentowy 3 13 33" xfId="27088"/>
    <cellStyle name="Procentowy 3 13 34" xfId="27089"/>
    <cellStyle name="Procentowy 3 13 35" xfId="27090"/>
    <cellStyle name="Procentowy 3 13 36" xfId="27091"/>
    <cellStyle name="Procentowy 3 13 37" xfId="27092"/>
    <cellStyle name="Procentowy 3 13 38" xfId="27093"/>
    <cellStyle name="Procentowy 3 13 39" xfId="27094"/>
    <cellStyle name="Procentowy 3 13 4" xfId="27095"/>
    <cellStyle name="Procentowy 3 13 4 2" xfId="27096"/>
    <cellStyle name="Procentowy 3 13 4 3" xfId="27097"/>
    <cellStyle name="Procentowy 3 13 4 4" xfId="27098"/>
    <cellStyle name="Procentowy 3 13 4 5" xfId="27099"/>
    <cellStyle name="Procentowy 3 13 4 6" xfId="27100"/>
    <cellStyle name="Procentowy 3 13 4 7" xfId="27101"/>
    <cellStyle name="Procentowy 3 13 40" xfId="27102"/>
    <cellStyle name="Procentowy 3 13 41" xfId="27103"/>
    <cellStyle name="Procentowy 3 13 42" xfId="27104"/>
    <cellStyle name="Procentowy 3 13 43" xfId="27105"/>
    <cellStyle name="Procentowy 3 13 44" xfId="27106"/>
    <cellStyle name="Procentowy 3 13 45" xfId="27107"/>
    <cellStyle name="Procentowy 3 13 46" xfId="27108"/>
    <cellStyle name="Procentowy 3 13 47" xfId="27109"/>
    <cellStyle name="Procentowy 3 13 48" xfId="27110"/>
    <cellStyle name="Procentowy 3 13 49" xfId="27111"/>
    <cellStyle name="Procentowy 3 13 5" xfId="27112"/>
    <cellStyle name="Procentowy 3 13 5 2" xfId="27113"/>
    <cellStyle name="Procentowy 3 13 5 3" xfId="27114"/>
    <cellStyle name="Procentowy 3 13 5 4" xfId="27115"/>
    <cellStyle name="Procentowy 3 13 5 5" xfId="27116"/>
    <cellStyle name="Procentowy 3 13 5 6" xfId="27117"/>
    <cellStyle name="Procentowy 3 13 5 7" xfId="27118"/>
    <cellStyle name="Procentowy 3 13 50" xfId="27119"/>
    <cellStyle name="Procentowy 3 13 51" xfId="27120"/>
    <cellStyle name="Procentowy 3 13 52" xfId="27121"/>
    <cellStyle name="Procentowy 3 13 53" xfId="27122"/>
    <cellStyle name="Procentowy 3 13 54" xfId="27123"/>
    <cellStyle name="Procentowy 3 13 55" xfId="27124"/>
    <cellStyle name="Procentowy 3 13 56" xfId="27125"/>
    <cellStyle name="Procentowy 3 13 57" xfId="27126"/>
    <cellStyle name="Procentowy 3 13 58" xfId="27127"/>
    <cellStyle name="Procentowy 3 13 59" xfId="27128"/>
    <cellStyle name="Procentowy 3 13 6" xfId="27129"/>
    <cellStyle name="Procentowy 3 13 6 2" xfId="27130"/>
    <cellStyle name="Procentowy 3 13 60" xfId="27131"/>
    <cellStyle name="Procentowy 3 13 61" xfId="27132"/>
    <cellStyle name="Procentowy 3 13 62" xfId="27133"/>
    <cellStyle name="Procentowy 3 13 63" xfId="27134"/>
    <cellStyle name="Procentowy 3 13 64" xfId="27135"/>
    <cellStyle name="Procentowy 3 13 65" xfId="27136"/>
    <cellStyle name="Procentowy 3 13 66" xfId="27137"/>
    <cellStyle name="Procentowy 3 13 67" xfId="27138"/>
    <cellStyle name="Procentowy 3 13 68" xfId="27139"/>
    <cellStyle name="Procentowy 3 13 69" xfId="27140"/>
    <cellStyle name="Procentowy 3 13 7" xfId="27141"/>
    <cellStyle name="Procentowy 3 13 7 2" xfId="27142"/>
    <cellStyle name="Procentowy 3 13 70" xfId="27143"/>
    <cellStyle name="Procentowy 3 13 71" xfId="27144"/>
    <cellStyle name="Procentowy 3 13 72" xfId="27145"/>
    <cellStyle name="Procentowy 3 13 73" xfId="27146"/>
    <cellStyle name="Procentowy 3 13 74" xfId="27147"/>
    <cellStyle name="Procentowy 3 13 8" xfId="27148"/>
    <cellStyle name="Procentowy 3 13 8 2" xfId="27149"/>
    <cellStyle name="Procentowy 3 13 9" xfId="27150"/>
    <cellStyle name="Procentowy 3 13 9 2" xfId="27151"/>
    <cellStyle name="Procentowy 3 14" xfId="27152"/>
    <cellStyle name="Procentowy 3 14 10" xfId="27153"/>
    <cellStyle name="Procentowy 3 14 10 2" xfId="27154"/>
    <cellStyle name="Procentowy 3 14 11" xfId="27155"/>
    <cellStyle name="Procentowy 3 14 11 2" xfId="27156"/>
    <cellStyle name="Procentowy 3 14 12" xfId="27157"/>
    <cellStyle name="Procentowy 3 14 12 2" xfId="27158"/>
    <cellStyle name="Procentowy 3 14 13" xfId="27159"/>
    <cellStyle name="Procentowy 3 14 13 2" xfId="27160"/>
    <cellStyle name="Procentowy 3 14 14" xfId="27161"/>
    <cellStyle name="Procentowy 3 14 14 2" xfId="27162"/>
    <cellStyle name="Procentowy 3 14 15" xfId="27163"/>
    <cellStyle name="Procentowy 3 14 15 2" xfId="27164"/>
    <cellStyle name="Procentowy 3 14 16" xfId="27165"/>
    <cellStyle name="Procentowy 3 14 16 2" xfId="27166"/>
    <cellStyle name="Procentowy 3 14 17" xfId="27167"/>
    <cellStyle name="Procentowy 3 14 17 2" xfId="27168"/>
    <cellStyle name="Procentowy 3 14 18" xfId="27169"/>
    <cellStyle name="Procentowy 3 14 18 2" xfId="27170"/>
    <cellStyle name="Procentowy 3 14 19" xfId="27171"/>
    <cellStyle name="Procentowy 3 14 19 2" xfId="27172"/>
    <cellStyle name="Procentowy 3 14 2" xfId="27173"/>
    <cellStyle name="Procentowy 3 14 2 2" xfId="27174"/>
    <cellStyle name="Procentowy 3 14 2 3" xfId="27175"/>
    <cellStyle name="Procentowy 3 14 2 4" xfId="27176"/>
    <cellStyle name="Procentowy 3 14 2 5" xfId="27177"/>
    <cellStyle name="Procentowy 3 14 2 6" xfId="27178"/>
    <cellStyle name="Procentowy 3 14 2 7" xfId="27179"/>
    <cellStyle name="Procentowy 3 14 20" xfId="27180"/>
    <cellStyle name="Procentowy 3 14 20 2" xfId="27181"/>
    <cellStyle name="Procentowy 3 14 21" xfId="27182"/>
    <cellStyle name="Procentowy 3 14 21 2" xfId="27183"/>
    <cellStyle name="Procentowy 3 14 22" xfId="27184"/>
    <cellStyle name="Procentowy 3 14 22 2" xfId="27185"/>
    <cellStyle name="Procentowy 3 14 23" xfId="27186"/>
    <cellStyle name="Procentowy 3 14 23 2" xfId="27187"/>
    <cellStyle name="Procentowy 3 14 24" xfId="27188"/>
    <cellStyle name="Procentowy 3 14 24 2" xfId="27189"/>
    <cellStyle name="Procentowy 3 14 25" xfId="27190"/>
    <cellStyle name="Procentowy 3 14 25 2" xfId="27191"/>
    <cellStyle name="Procentowy 3 14 26" xfId="27192"/>
    <cellStyle name="Procentowy 3 14 26 2" xfId="27193"/>
    <cellStyle name="Procentowy 3 14 27" xfId="27194"/>
    <cellStyle name="Procentowy 3 14 27 2" xfId="27195"/>
    <cellStyle name="Procentowy 3 14 28" xfId="27196"/>
    <cellStyle name="Procentowy 3 14 28 2" xfId="27197"/>
    <cellStyle name="Procentowy 3 14 29" xfId="27198"/>
    <cellStyle name="Procentowy 3 14 29 2" xfId="27199"/>
    <cellStyle name="Procentowy 3 14 3" xfId="27200"/>
    <cellStyle name="Procentowy 3 14 3 2" xfId="27201"/>
    <cellStyle name="Procentowy 3 14 3 3" xfId="27202"/>
    <cellStyle name="Procentowy 3 14 3 4" xfId="27203"/>
    <cellStyle name="Procentowy 3 14 3 5" xfId="27204"/>
    <cellStyle name="Procentowy 3 14 3 6" xfId="27205"/>
    <cellStyle name="Procentowy 3 14 3 7" xfId="27206"/>
    <cellStyle name="Procentowy 3 14 30" xfId="27207"/>
    <cellStyle name="Procentowy 3 14 30 2" xfId="27208"/>
    <cellStyle name="Procentowy 3 14 31" xfId="27209"/>
    <cellStyle name="Procentowy 3 14 31 2" xfId="27210"/>
    <cellStyle name="Procentowy 3 14 32" xfId="27211"/>
    <cellStyle name="Procentowy 3 14 33" xfId="27212"/>
    <cellStyle name="Procentowy 3 14 34" xfId="27213"/>
    <cellStyle name="Procentowy 3 14 35" xfId="27214"/>
    <cellStyle name="Procentowy 3 14 36" xfId="27215"/>
    <cellStyle name="Procentowy 3 14 37" xfId="27216"/>
    <cellStyle name="Procentowy 3 14 38" xfId="27217"/>
    <cellStyle name="Procentowy 3 14 39" xfId="27218"/>
    <cellStyle name="Procentowy 3 14 4" xfId="27219"/>
    <cellStyle name="Procentowy 3 14 4 2" xfId="27220"/>
    <cellStyle name="Procentowy 3 14 4 3" xfId="27221"/>
    <cellStyle name="Procentowy 3 14 4 4" xfId="27222"/>
    <cellStyle name="Procentowy 3 14 4 5" xfId="27223"/>
    <cellStyle name="Procentowy 3 14 4 6" xfId="27224"/>
    <cellStyle name="Procentowy 3 14 4 7" xfId="27225"/>
    <cellStyle name="Procentowy 3 14 40" xfId="27226"/>
    <cellStyle name="Procentowy 3 14 41" xfId="27227"/>
    <cellStyle name="Procentowy 3 14 42" xfId="27228"/>
    <cellStyle name="Procentowy 3 14 43" xfId="27229"/>
    <cellStyle name="Procentowy 3 14 44" xfId="27230"/>
    <cellStyle name="Procentowy 3 14 45" xfId="27231"/>
    <cellStyle name="Procentowy 3 14 46" xfId="27232"/>
    <cellStyle name="Procentowy 3 14 47" xfId="27233"/>
    <cellStyle name="Procentowy 3 14 48" xfId="27234"/>
    <cellStyle name="Procentowy 3 14 49" xfId="27235"/>
    <cellStyle name="Procentowy 3 14 5" xfId="27236"/>
    <cellStyle name="Procentowy 3 14 5 2" xfId="27237"/>
    <cellStyle name="Procentowy 3 14 5 3" xfId="27238"/>
    <cellStyle name="Procentowy 3 14 5 4" xfId="27239"/>
    <cellStyle name="Procentowy 3 14 5 5" xfId="27240"/>
    <cellStyle name="Procentowy 3 14 5 6" xfId="27241"/>
    <cellStyle name="Procentowy 3 14 5 7" xfId="27242"/>
    <cellStyle name="Procentowy 3 14 50" xfId="27243"/>
    <cellStyle name="Procentowy 3 14 51" xfId="27244"/>
    <cellStyle name="Procentowy 3 14 52" xfId="27245"/>
    <cellStyle name="Procentowy 3 14 53" xfId="27246"/>
    <cellStyle name="Procentowy 3 14 54" xfId="27247"/>
    <cellStyle name="Procentowy 3 14 55" xfId="27248"/>
    <cellStyle name="Procentowy 3 14 56" xfId="27249"/>
    <cellStyle name="Procentowy 3 14 57" xfId="27250"/>
    <cellStyle name="Procentowy 3 14 58" xfId="27251"/>
    <cellStyle name="Procentowy 3 14 59" xfId="27252"/>
    <cellStyle name="Procentowy 3 14 6" xfId="27253"/>
    <cellStyle name="Procentowy 3 14 6 2" xfId="27254"/>
    <cellStyle name="Procentowy 3 14 60" xfId="27255"/>
    <cellStyle name="Procentowy 3 14 61" xfId="27256"/>
    <cellStyle name="Procentowy 3 14 62" xfId="27257"/>
    <cellStyle name="Procentowy 3 14 63" xfId="27258"/>
    <cellStyle name="Procentowy 3 14 64" xfId="27259"/>
    <cellStyle name="Procentowy 3 14 65" xfId="27260"/>
    <cellStyle name="Procentowy 3 14 66" xfId="27261"/>
    <cellStyle name="Procentowy 3 14 67" xfId="27262"/>
    <cellStyle name="Procentowy 3 14 68" xfId="27263"/>
    <cellStyle name="Procentowy 3 14 69" xfId="27264"/>
    <cellStyle name="Procentowy 3 14 7" xfId="27265"/>
    <cellStyle name="Procentowy 3 14 7 2" xfId="27266"/>
    <cellStyle name="Procentowy 3 14 70" xfId="27267"/>
    <cellStyle name="Procentowy 3 14 71" xfId="27268"/>
    <cellStyle name="Procentowy 3 14 72" xfId="27269"/>
    <cellStyle name="Procentowy 3 14 73" xfId="27270"/>
    <cellStyle name="Procentowy 3 14 74" xfId="27271"/>
    <cellStyle name="Procentowy 3 14 8" xfId="27272"/>
    <cellStyle name="Procentowy 3 14 8 2" xfId="27273"/>
    <cellStyle name="Procentowy 3 14 9" xfId="27274"/>
    <cellStyle name="Procentowy 3 14 9 2" xfId="27275"/>
    <cellStyle name="Procentowy 3 15" xfId="27276"/>
    <cellStyle name="Procentowy 3 15 10" xfId="27277"/>
    <cellStyle name="Procentowy 3 15 10 2" xfId="27278"/>
    <cellStyle name="Procentowy 3 15 11" xfId="27279"/>
    <cellStyle name="Procentowy 3 15 11 2" xfId="27280"/>
    <cellStyle name="Procentowy 3 15 12" xfId="27281"/>
    <cellStyle name="Procentowy 3 15 12 2" xfId="27282"/>
    <cellStyle name="Procentowy 3 15 13" xfId="27283"/>
    <cellStyle name="Procentowy 3 15 13 2" xfId="27284"/>
    <cellStyle name="Procentowy 3 15 14" xfId="27285"/>
    <cellStyle name="Procentowy 3 15 14 2" xfId="27286"/>
    <cellStyle name="Procentowy 3 15 15" xfId="27287"/>
    <cellStyle name="Procentowy 3 15 15 2" xfId="27288"/>
    <cellStyle name="Procentowy 3 15 16" xfId="27289"/>
    <cellStyle name="Procentowy 3 15 16 2" xfId="27290"/>
    <cellStyle name="Procentowy 3 15 17" xfId="27291"/>
    <cellStyle name="Procentowy 3 15 17 2" xfId="27292"/>
    <cellStyle name="Procentowy 3 15 18" xfId="27293"/>
    <cellStyle name="Procentowy 3 15 18 2" xfId="27294"/>
    <cellStyle name="Procentowy 3 15 19" xfId="27295"/>
    <cellStyle name="Procentowy 3 15 19 2" xfId="27296"/>
    <cellStyle name="Procentowy 3 15 2" xfId="27297"/>
    <cellStyle name="Procentowy 3 15 2 2" xfId="27298"/>
    <cellStyle name="Procentowy 3 15 2 3" xfId="27299"/>
    <cellStyle name="Procentowy 3 15 2 4" xfId="27300"/>
    <cellStyle name="Procentowy 3 15 2 5" xfId="27301"/>
    <cellStyle name="Procentowy 3 15 2 6" xfId="27302"/>
    <cellStyle name="Procentowy 3 15 2 7" xfId="27303"/>
    <cellStyle name="Procentowy 3 15 20" xfId="27304"/>
    <cellStyle name="Procentowy 3 15 20 2" xfId="27305"/>
    <cellStyle name="Procentowy 3 15 21" xfId="27306"/>
    <cellStyle name="Procentowy 3 15 21 2" xfId="27307"/>
    <cellStyle name="Procentowy 3 15 22" xfId="27308"/>
    <cellStyle name="Procentowy 3 15 22 2" xfId="27309"/>
    <cellStyle name="Procentowy 3 15 23" xfId="27310"/>
    <cellStyle name="Procentowy 3 15 23 2" xfId="27311"/>
    <cellStyle name="Procentowy 3 15 24" xfId="27312"/>
    <cellStyle name="Procentowy 3 15 24 2" xfId="27313"/>
    <cellStyle name="Procentowy 3 15 25" xfId="27314"/>
    <cellStyle name="Procentowy 3 15 25 2" xfId="27315"/>
    <cellStyle name="Procentowy 3 15 26" xfId="27316"/>
    <cellStyle name="Procentowy 3 15 26 2" xfId="27317"/>
    <cellStyle name="Procentowy 3 15 27" xfId="27318"/>
    <cellStyle name="Procentowy 3 15 27 2" xfId="27319"/>
    <cellStyle name="Procentowy 3 15 28" xfId="27320"/>
    <cellStyle name="Procentowy 3 15 28 2" xfId="27321"/>
    <cellStyle name="Procentowy 3 15 29" xfId="27322"/>
    <cellStyle name="Procentowy 3 15 29 2" xfId="27323"/>
    <cellStyle name="Procentowy 3 15 3" xfId="27324"/>
    <cellStyle name="Procentowy 3 15 3 2" xfId="27325"/>
    <cellStyle name="Procentowy 3 15 3 3" xfId="27326"/>
    <cellStyle name="Procentowy 3 15 3 4" xfId="27327"/>
    <cellStyle name="Procentowy 3 15 3 5" xfId="27328"/>
    <cellStyle name="Procentowy 3 15 3 6" xfId="27329"/>
    <cellStyle name="Procentowy 3 15 3 7" xfId="27330"/>
    <cellStyle name="Procentowy 3 15 30" xfId="27331"/>
    <cellStyle name="Procentowy 3 15 30 2" xfId="27332"/>
    <cellStyle name="Procentowy 3 15 31" xfId="27333"/>
    <cellStyle name="Procentowy 3 15 31 2" xfId="27334"/>
    <cellStyle name="Procentowy 3 15 32" xfId="27335"/>
    <cellStyle name="Procentowy 3 15 33" xfId="27336"/>
    <cellStyle name="Procentowy 3 15 34" xfId="27337"/>
    <cellStyle name="Procentowy 3 15 35" xfId="27338"/>
    <cellStyle name="Procentowy 3 15 36" xfId="27339"/>
    <cellStyle name="Procentowy 3 15 37" xfId="27340"/>
    <cellStyle name="Procentowy 3 15 38" xfId="27341"/>
    <cellStyle name="Procentowy 3 15 39" xfId="27342"/>
    <cellStyle name="Procentowy 3 15 4" xfId="27343"/>
    <cellStyle name="Procentowy 3 15 4 2" xfId="27344"/>
    <cellStyle name="Procentowy 3 15 4 3" xfId="27345"/>
    <cellStyle name="Procentowy 3 15 4 4" xfId="27346"/>
    <cellStyle name="Procentowy 3 15 4 5" xfId="27347"/>
    <cellStyle name="Procentowy 3 15 4 6" xfId="27348"/>
    <cellStyle name="Procentowy 3 15 4 7" xfId="27349"/>
    <cellStyle name="Procentowy 3 15 40" xfId="27350"/>
    <cellStyle name="Procentowy 3 15 41" xfId="27351"/>
    <cellStyle name="Procentowy 3 15 42" xfId="27352"/>
    <cellStyle name="Procentowy 3 15 43" xfId="27353"/>
    <cellStyle name="Procentowy 3 15 44" xfId="27354"/>
    <cellStyle name="Procentowy 3 15 45" xfId="27355"/>
    <cellStyle name="Procentowy 3 15 46" xfId="27356"/>
    <cellStyle name="Procentowy 3 15 47" xfId="27357"/>
    <cellStyle name="Procentowy 3 15 48" xfId="27358"/>
    <cellStyle name="Procentowy 3 15 49" xfId="27359"/>
    <cellStyle name="Procentowy 3 15 5" xfId="27360"/>
    <cellStyle name="Procentowy 3 15 5 2" xfId="27361"/>
    <cellStyle name="Procentowy 3 15 5 3" xfId="27362"/>
    <cellStyle name="Procentowy 3 15 5 4" xfId="27363"/>
    <cellStyle name="Procentowy 3 15 5 5" xfId="27364"/>
    <cellStyle name="Procentowy 3 15 5 6" xfId="27365"/>
    <cellStyle name="Procentowy 3 15 5 7" xfId="27366"/>
    <cellStyle name="Procentowy 3 15 50" xfId="27367"/>
    <cellStyle name="Procentowy 3 15 51" xfId="27368"/>
    <cellStyle name="Procentowy 3 15 52" xfId="27369"/>
    <cellStyle name="Procentowy 3 15 53" xfId="27370"/>
    <cellStyle name="Procentowy 3 15 54" xfId="27371"/>
    <cellStyle name="Procentowy 3 15 55" xfId="27372"/>
    <cellStyle name="Procentowy 3 15 56" xfId="27373"/>
    <cellStyle name="Procentowy 3 15 57" xfId="27374"/>
    <cellStyle name="Procentowy 3 15 58" xfId="27375"/>
    <cellStyle name="Procentowy 3 15 59" xfId="27376"/>
    <cellStyle name="Procentowy 3 15 6" xfId="27377"/>
    <cellStyle name="Procentowy 3 15 6 2" xfId="27378"/>
    <cellStyle name="Procentowy 3 15 60" xfId="27379"/>
    <cellStyle name="Procentowy 3 15 61" xfId="27380"/>
    <cellStyle name="Procentowy 3 15 62" xfId="27381"/>
    <cellStyle name="Procentowy 3 15 63" xfId="27382"/>
    <cellStyle name="Procentowy 3 15 64" xfId="27383"/>
    <cellStyle name="Procentowy 3 15 65" xfId="27384"/>
    <cellStyle name="Procentowy 3 15 66" xfId="27385"/>
    <cellStyle name="Procentowy 3 15 67" xfId="27386"/>
    <cellStyle name="Procentowy 3 15 68" xfId="27387"/>
    <cellStyle name="Procentowy 3 15 69" xfId="27388"/>
    <cellStyle name="Procentowy 3 15 7" xfId="27389"/>
    <cellStyle name="Procentowy 3 15 7 2" xfId="27390"/>
    <cellStyle name="Procentowy 3 15 70" xfId="27391"/>
    <cellStyle name="Procentowy 3 15 71" xfId="27392"/>
    <cellStyle name="Procentowy 3 15 72" xfId="27393"/>
    <cellStyle name="Procentowy 3 15 73" xfId="27394"/>
    <cellStyle name="Procentowy 3 15 74" xfId="27395"/>
    <cellStyle name="Procentowy 3 15 8" xfId="27396"/>
    <cellStyle name="Procentowy 3 15 8 2" xfId="27397"/>
    <cellStyle name="Procentowy 3 15 9" xfId="27398"/>
    <cellStyle name="Procentowy 3 15 9 2" xfId="27399"/>
    <cellStyle name="Procentowy 3 16" xfId="27400"/>
    <cellStyle name="Procentowy 3 16 10" xfId="27401"/>
    <cellStyle name="Procentowy 3 16 10 2" xfId="27402"/>
    <cellStyle name="Procentowy 3 16 11" xfId="27403"/>
    <cellStyle name="Procentowy 3 16 11 2" xfId="27404"/>
    <cellStyle name="Procentowy 3 16 12" xfId="27405"/>
    <cellStyle name="Procentowy 3 16 12 2" xfId="27406"/>
    <cellStyle name="Procentowy 3 16 13" xfId="27407"/>
    <cellStyle name="Procentowy 3 16 13 2" xfId="27408"/>
    <cellStyle name="Procentowy 3 16 14" xfId="27409"/>
    <cellStyle name="Procentowy 3 16 14 2" xfId="27410"/>
    <cellStyle name="Procentowy 3 16 15" xfId="27411"/>
    <cellStyle name="Procentowy 3 16 15 2" xfId="27412"/>
    <cellStyle name="Procentowy 3 16 16" xfId="27413"/>
    <cellStyle name="Procentowy 3 16 16 2" xfId="27414"/>
    <cellStyle name="Procentowy 3 16 17" xfId="27415"/>
    <cellStyle name="Procentowy 3 16 17 2" xfId="27416"/>
    <cellStyle name="Procentowy 3 16 18" xfId="27417"/>
    <cellStyle name="Procentowy 3 16 18 2" xfId="27418"/>
    <cellStyle name="Procentowy 3 16 19" xfId="27419"/>
    <cellStyle name="Procentowy 3 16 19 2" xfId="27420"/>
    <cellStyle name="Procentowy 3 16 2" xfId="27421"/>
    <cellStyle name="Procentowy 3 16 2 2" xfId="27422"/>
    <cellStyle name="Procentowy 3 16 2 3" xfId="27423"/>
    <cellStyle name="Procentowy 3 16 2 4" xfId="27424"/>
    <cellStyle name="Procentowy 3 16 2 5" xfId="27425"/>
    <cellStyle name="Procentowy 3 16 2 6" xfId="27426"/>
    <cellStyle name="Procentowy 3 16 2 7" xfId="27427"/>
    <cellStyle name="Procentowy 3 16 20" xfId="27428"/>
    <cellStyle name="Procentowy 3 16 20 2" xfId="27429"/>
    <cellStyle name="Procentowy 3 16 21" xfId="27430"/>
    <cellStyle name="Procentowy 3 16 21 2" xfId="27431"/>
    <cellStyle name="Procentowy 3 16 22" xfId="27432"/>
    <cellStyle name="Procentowy 3 16 22 2" xfId="27433"/>
    <cellStyle name="Procentowy 3 16 23" xfId="27434"/>
    <cellStyle name="Procentowy 3 16 23 2" xfId="27435"/>
    <cellStyle name="Procentowy 3 16 24" xfId="27436"/>
    <cellStyle name="Procentowy 3 16 24 2" xfId="27437"/>
    <cellStyle name="Procentowy 3 16 25" xfId="27438"/>
    <cellStyle name="Procentowy 3 16 25 2" xfId="27439"/>
    <cellStyle name="Procentowy 3 16 26" xfId="27440"/>
    <cellStyle name="Procentowy 3 16 26 2" xfId="27441"/>
    <cellStyle name="Procentowy 3 16 27" xfId="27442"/>
    <cellStyle name="Procentowy 3 16 27 2" xfId="27443"/>
    <cellStyle name="Procentowy 3 16 28" xfId="27444"/>
    <cellStyle name="Procentowy 3 16 28 2" xfId="27445"/>
    <cellStyle name="Procentowy 3 16 29" xfId="27446"/>
    <cellStyle name="Procentowy 3 16 29 2" xfId="27447"/>
    <cellStyle name="Procentowy 3 16 3" xfId="27448"/>
    <cellStyle name="Procentowy 3 16 3 2" xfId="27449"/>
    <cellStyle name="Procentowy 3 16 3 3" xfId="27450"/>
    <cellStyle name="Procentowy 3 16 3 4" xfId="27451"/>
    <cellStyle name="Procentowy 3 16 3 5" xfId="27452"/>
    <cellStyle name="Procentowy 3 16 3 6" xfId="27453"/>
    <cellStyle name="Procentowy 3 16 3 7" xfId="27454"/>
    <cellStyle name="Procentowy 3 16 30" xfId="27455"/>
    <cellStyle name="Procentowy 3 16 30 2" xfId="27456"/>
    <cellStyle name="Procentowy 3 16 31" xfId="27457"/>
    <cellStyle name="Procentowy 3 16 31 2" xfId="27458"/>
    <cellStyle name="Procentowy 3 16 32" xfId="27459"/>
    <cellStyle name="Procentowy 3 16 33" xfId="27460"/>
    <cellStyle name="Procentowy 3 16 34" xfId="27461"/>
    <cellStyle name="Procentowy 3 16 35" xfId="27462"/>
    <cellStyle name="Procentowy 3 16 36" xfId="27463"/>
    <cellStyle name="Procentowy 3 16 37" xfId="27464"/>
    <cellStyle name="Procentowy 3 16 38" xfId="27465"/>
    <cellStyle name="Procentowy 3 16 39" xfId="27466"/>
    <cellStyle name="Procentowy 3 16 4" xfId="27467"/>
    <cellStyle name="Procentowy 3 16 4 2" xfId="27468"/>
    <cellStyle name="Procentowy 3 16 4 3" xfId="27469"/>
    <cellStyle name="Procentowy 3 16 4 4" xfId="27470"/>
    <cellStyle name="Procentowy 3 16 4 5" xfId="27471"/>
    <cellStyle name="Procentowy 3 16 4 6" xfId="27472"/>
    <cellStyle name="Procentowy 3 16 4 7" xfId="27473"/>
    <cellStyle name="Procentowy 3 16 40" xfId="27474"/>
    <cellStyle name="Procentowy 3 16 41" xfId="27475"/>
    <cellStyle name="Procentowy 3 16 42" xfId="27476"/>
    <cellStyle name="Procentowy 3 16 43" xfId="27477"/>
    <cellStyle name="Procentowy 3 16 44" xfId="27478"/>
    <cellStyle name="Procentowy 3 16 45" xfId="27479"/>
    <cellStyle name="Procentowy 3 16 46" xfId="27480"/>
    <cellStyle name="Procentowy 3 16 47" xfId="27481"/>
    <cellStyle name="Procentowy 3 16 48" xfId="27482"/>
    <cellStyle name="Procentowy 3 16 49" xfId="27483"/>
    <cellStyle name="Procentowy 3 16 5" xfId="27484"/>
    <cellStyle name="Procentowy 3 16 5 2" xfId="27485"/>
    <cellStyle name="Procentowy 3 16 5 3" xfId="27486"/>
    <cellStyle name="Procentowy 3 16 5 4" xfId="27487"/>
    <cellStyle name="Procentowy 3 16 5 5" xfId="27488"/>
    <cellStyle name="Procentowy 3 16 5 6" xfId="27489"/>
    <cellStyle name="Procentowy 3 16 5 7" xfId="27490"/>
    <cellStyle name="Procentowy 3 16 50" xfId="27491"/>
    <cellStyle name="Procentowy 3 16 51" xfId="27492"/>
    <cellStyle name="Procentowy 3 16 52" xfId="27493"/>
    <cellStyle name="Procentowy 3 16 53" xfId="27494"/>
    <cellStyle name="Procentowy 3 16 54" xfId="27495"/>
    <cellStyle name="Procentowy 3 16 55" xfId="27496"/>
    <cellStyle name="Procentowy 3 16 56" xfId="27497"/>
    <cellStyle name="Procentowy 3 16 57" xfId="27498"/>
    <cellStyle name="Procentowy 3 16 58" xfId="27499"/>
    <cellStyle name="Procentowy 3 16 59" xfId="27500"/>
    <cellStyle name="Procentowy 3 16 6" xfId="27501"/>
    <cellStyle name="Procentowy 3 16 6 2" xfId="27502"/>
    <cellStyle name="Procentowy 3 16 60" xfId="27503"/>
    <cellStyle name="Procentowy 3 16 61" xfId="27504"/>
    <cellStyle name="Procentowy 3 16 62" xfId="27505"/>
    <cellStyle name="Procentowy 3 16 63" xfId="27506"/>
    <cellStyle name="Procentowy 3 16 64" xfId="27507"/>
    <cellStyle name="Procentowy 3 16 65" xfId="27508"/>
    <cellStyle name="Procentowy 3 16 66" xfId="27509"/>
    <cellStyle name="Procentowy 3 16 67" xfId="27510"/>
    <cellStyle name="Procentowy 3 16 68" xfId="27511"/>
    <cellStyle name="Procentowy 3 16 69" xfId="27512"/>
    <cellStyle name="Procentowy 3 16 7" xfId="27513"/>
    <cellStyle name="Procentowy 3 16 7 2" xfId="27514"/>
    <cellStyle name="Procentowy 3 16 70" xfId="27515"/>
    <cellStyle name="Procentowy 3 16 71" xfId="27516"/>
    <cellStyle name="Procentowy 3 16 72" xfId="27517"/>
    <cellStyle name="Procentowy 3 16 73" xfId="27518"/>
    <cellStyle name="Procentowy 3 16 74" xfId="27519"/>
    <cellStyle name="Procentowy 3 16 8" xfId="27520"/>
    <cellStyle name="Procentowy 3 16 8 2" xfId="27521"/>
    <cellStyle name="Procentowy 3 16 9" xfId="27522"/>
    <cellStyle name="Procentowy 3 16 9 2" xfId="27523"/>
    <cellStyle name="Procentowy 3 17" xfId="27524"/>
    <cellStyle name="Procentowy 3 17 10" xfId="27525"/>
    <cellStyle name="Procentowy 3 17 10 2" xfId="27526"/>
    <cellStyle name="Procentowy 3 17 11" xfId="27527"/>
    <cellStyle name="Procentowy 3 17 11 2" xfId="27528"/>
    <cellStyle name="Procentowy 3 17 12" xfId="27529"/>
    <cellStyle name="Procentowy 3 17 12 2" xfId="27530"/>
    <cellStyle name="Procentowy 3 17 13" xfId="27531"/>
    <cellStyle name="Procentowy 3 17 13 2" xfId="27532"/>
    <cellStyle name="Procentowy 3 17 14" xfId="27533"/>
    <cellStyle name="Procentowy 3 17 14 2" xfId="27534"/>
    <cellStyle name="Procentowy 3 17 15" xfId="27535"/>
    <cellStyle name="Procentowy 3 17 15 2" xfId="27536"/>
    <cellStyle name="Procentowy 3 17 16" xfId="27537"/>
    <cellStyle name="Procentowy 3 17 16 2" xfId="27538"/>
    <cellStyle name="Procentowy 3 17 17" xfId="27539"/>
    <cellStyle name="Procentowy 3 17 17 2" xfId="27540"/>
    <cellStyle name="Procentowy 3 17 18" xfId="27541"/>
    <cellStyle name="Procentowy 3 17 18 2" xfId="27542"/>
    <cellStyle name="Procentowy 3 17 19" xfId="27543"/>
    <cellStyle name="Procentowy 3 17 19 2" xfId="27544"/>
    <cellStyle name="Procentowy 3 17 2" xfId="27545"/>
    <cellStyle name="Procentowy 3 17 2 2" xfId="27546"/>
    <cellStyle name="Procentowy 3 17 2 3" xfId="27547"/>
    <cellStyle name="Procentowy 3 17 2 4" xfId="27548"/>
    <cellStyle name="Procentowy 3 17 2 5" xfId="27549"/>
    <cellStyle name="Procentowy 3 17 2 6" xfId="27550"/>
    <cellStyle name="Procentowy 3 17 2 7" xfId="27551"/>
    <cellStyle name="Procentowy 3 17 20" xfId="27552"/>
    <cellStyle name="Procentowy 3 17 20 2" xfId="27553"/>
    <cellStyle name="Procentowy 3 17 21" xfId="27554"/>
    <cellStyle name="Procentowy 3 17 21 2" xfId="27555"/>
    <cellStyle name="Procentowy 3 17 22" xfId="27556"/>
    <cellStyle name="Procentowy 3 17 22 2" xfId="27557"/>
    <cellStyle name="Procentowy 3 17 23" xfId="27558"/>
    <cellStyle name="Procentowy 3 17 23 2" xfId="27559"/>
    <cellStyle name="Procentowy 3 17 24" xfId="27560"/>
    <cellStyle name="Procentowy 3 17 24 2" xfId="27561"/>
    <cellStyle name="Procentowy 3 17 25" xfId="27562"/>
    <cellStyle name="Procentowy 3 17 25 2" xfId="27563"/>
    <cellStyle name="Procentowy 3 17 26" xfId="27564"/>
    <cellStyle name="Procentowy 3 17 26 2" xfId="27565"/>
    <cellStyle name="Procentowy 3 17 27" xfId="27566"/>
    <cellStyle name="Procentowy 3 17 27 2" xfId="27567"/>
    <cellStyle name="Procentowy 3 17 28" xfId="27568"/>
    <cellStyle name="Procentowy 3 17 28 2" xfId="27569"/>
    <cellStyle name="Procentowy 3 17 29" xfId="27570"/>
    <cellStyle name="Procentowy 3 17 29 2" xfId="27571"/>
    <cellStyle name="Procentowy 3 17 3" xfId="27572"/>
    <cellStyle name="Procentowy 3 17 3 2" xfId="27573"/>
    <cellStyle name="Procentowy 3 17 3 3" xfId="27574"/>
    <cellStyle name="Procentowy 3 17 3 4" xfId="27575"/>
    <cellStyle name="Procentowy 3 17 3 5" xfId="27576"/>
    <cellStyle name="Procentowy 3 17 3 6" xfId="27577"/>
    <cellStyle name="Procentowy 3 17 3 7" xfId="27578"/>
    <cellStyle name="Procentowy 3 17 30" xfId="27579"/>
    <cellStyle name="Procentowy 3 17 30 2" xfId="27580"/>
    <cellStyle name="Procentowy 3 17 31" xfId="27581"/>
    <cellStyle name="Procentowy 3 17 31 2" xfId="27582"/>
    <cellStyle name="Procentowy 3 17 32" xfId="27583"/>
    <cellStyle name="Procentowy 3 17 33" xfId="27584"/>
    <cellStyle name="Procentowy 3 17 34" xfId="27585"/>
    <cellStyle name="Procentowy 3 17 35" xfId="27586"/>
    <cellStyle name="Procentowy 3 17 36" xfId="27587"/>
    <cellStyle name="Procentowy 3 17 37" xfId="27588"/>
    <cellStyle name="Procentowy 3 17 38" xfId="27589"/>
    <cellStyle name="Procentowy 3 17 39" xfId="27590"/>
    <cellStyle name="Procentowy 3 17 4" xfId="27591"/>
    <cellStyle name="Procentowy 3 17 4 2" xfId="27592"/>
    <cellStyle name="Procentowy 3 17 4 3" xfId="27593"/>
    <cellStyle name="Procentowy 3 17 4 4" xfId="27594"/>
    <cellStyle name="Procentowy 3 17 4 5" xfId="27595"/>
    <cellStyle name="Procentowy 3 17 4 6" xfId="27596"/>
    <cellStyle name="Procentowy 3 17 4 7" xfId="27597"/>
    <cellStyle name="Procentowy 3 17 40" xfId="27598"/>
    <cellStyle name="Procentowy 3 17 41" xfId="27599"/>
    <cellStyle name="Procentowy 3 17 42" xfId="27600"/>
    <cellStyle name="Procentowy 3 17 43" xfId="27601"/>
    <cellStyle name="Procentowy 3 17 44" xfId="27602"/>
    <cellStyle name="Procentowy 3 17 45" xfId="27603"/>
    <cellStyle name="Procentowy 3 17 46" xfId="27604"/>
    <cellStyle name="Procentowy 3 17 47" xfId="27605"/>
    <cellStyle name="Procentowy 3 17 48" xfId="27606"/>
    <cellStyle name="Procentowy 3 17 49" xfId="27607"/>
    <cellStyle name="Procentowy 3 17 5" xfId="27608"/>
    <cellStyle name="Procentowy 3 17 5 2" xfId="27609"/>
    <cellStyle name="Procentowy 3 17 5 3" xfId="27610"/>
    <cellStyle name="Procentowy 3 17 5 4" xfId="27611"/>
    <cellStyle name="Procentowy 3 17 5 5" xfId="27612"/>
    <cellStyle name="Procentowy 3 17 5 6" xfId="27613"/>
    <cellStyle name="Procentowy 3 17 5 7" xfId="27614"/>
    <cellStyle name="Procentowy 3 17 50" xfId="27615"/>
    <cellStyle name="Procentowy 3 17 51" xfId="27616"/>
    <cellStyle name="Procentowy 3 17 52" xfId="27617"/>
    <cellStyle name="Procentowy 3 17 53" xfId="27618"/>
    <cellStyle name="Procentowy 3 17 54" xfId="27619"/>
    <cellStyle name="Procentowy 3 17 55" xfId="27620"/>
    <cellStyle name="Procentowy 3 17 56" xfId="27621"/>
    <cellStyle name="Procentowy 3 17 57" xfId="27622"/>
    <cellStyle name="Procentowy 3 17 58" xfId="27623"/>
    <cellStyle name="Procentowy 3 17 59" xfId="27624"/>
    <cellStyle name="Procentowy 3 17 6" xfId="27625"/>
    <cellStyle name="Procentowy 3 17 6 2" xfId="27626"/>
    <cellStyle name="Procentowy 3 17 60" xfId="27627"/>
    <cellStyle name="Procentowy 3 17 61" xfId="27628"/>
    <cellStyle name="Procentowy 3 17 62" xfId="27629"/>
    <cellStyle name="Procentowy 3 17 63" xfId="27630"/>
    <cellStyle name="Procentowy 3 17 64" xfId="27631"/>
    <cellStyle name="Procentowy 3 17 65" xfId="27632"/>
    <cellStyle name="Procentowy 3 17 66" xfId="27633"/>
    <cellStyle name="Procentowy 3 17 67" xfId="27634"/>
    <cellStyle name="Procentowy 3 17 68" xfId="27635"/>
    <cellStyle name="Procentowy 3 17 69" xfId="27636"/>
    <cellStyle name="Procentowy 3 17 7" xfId="27637"/>
    <cellStyle name="Procentowy 3 17 7 2" xfId="27638"/>
    <cellStyle name="Procentowy 3 17 70" xfId="27639"/>
    <cellStyle name="Procentowy 3 17 71" xfId="27640"/>
    <cellStyle name="Procentowy 3 17 72" xfId="27641"/>
    <cellStyle name="Procentowy 3 17 73" xfId="27642"/>
    <cellStyle name="Procentowy 3 17 74" xfId="27643"/>
    <cellStyle name="Procentowy 3 17 8" xfId="27644"/>
    <cellStyle name="Procentowy 3 17 8 2" xfId="27645"/>
    <cellStyle name="Procentowy 3 17 9" xfId="27646"/>
    <cellStyle name="Procentowy 3 17 9 2" xfId="27647"/>
    <cellStyle name="Procentowy 3 18" xfId="27648"/>
    <cellStyle name="Procentowy 3 18 10" xfId="27649"/>
    <cellStyle name="Procentowy 3 18 10 2" xfId="27650"/>
    <cellStyle name="Procentowy 3 18 11" xfId="27651"/>
    <cellStyle name="Procentowy 3 18 11 2" xfId="27652"/>
    <cellStyle name="Procentowy 3 18 12" xfId="27653"/>
    <cellStyle name="Procentowy 3 18 12 2" xfId="27654"/>
    <cellStyle name="Procentowy 3 18 13" xfId="27655"/>
    <cellStyle name="Procentowy 3 18 13 2" xfId="27656"/>
    <cellStyle name="Procentowy 3 18 14" xfId="27657"/>
    <cellStyle name="Procentowy 3 18 14 2" xfId="27658"/>
    <cellStyle name="Procentowy 3 18 15" xfId="27659"/>
    <cellStyle name="Procentowy 3 18 15 2" xfId="27660"/>
    <cellStyle name="Procentowy 3 18 16" xfId="27661"/>
    <cellStyle name="Procentowy 3 18 16 2" xfId="27662"/>
    <cellStyle name="Procentowy 3 18 17" xfId="27663"/>
    <cellStyle name="Procentowy 3 18 17 2" xfId="27664"/>
    <cellStyle name="Procentowy 3 18 18" xfId="27665"/>
    <cellStyle name="Procentowy 3 18 18 2" xfId="27666"/>
    <cellStyle name="Procentowy 3 18 19" xfId="27667"/>
    <cellStyle name="Procentowy 3 18 19 2" xfId="27668"/>
    <cellStyle name="Procentowy 3 18 2" xfId="27669"/>
    <cellStyle name="Procentowy 3 18 2 2" xfId="27670"/>
    <cellStyle name="Procentowy 3 18 2 3" xfId="27671"/>
    <cellStyle name="Procentowy 3 18 2 4" xfId="27672"/>
    <cellStyle name="Procentowy 3 18 2 5" xfId="27673"/>
    <cellStyle name="Procentowy 3 18 2 6" xfId="27674"/>
    <cellStyle name="Procentowy 3 18 2 7" xfId="27675"/>
    <cellStyle name="Procentowy 3 18 20" xfId="27676"/>
    <cellStyle name="Procentowy 3 18 20 2" xfId="27677"/>
    <cellStyle name="Procentowy 3 18 21" xfId="27678"/>
    <cellStyle name="Procentowy 3 18 21 2" xfId="27679"/>
    <cellStyle name="Procentowy 3 18 22" xfId="27680"/>
    <cellStyle name="Procentowy 3 18 22 2" xfId="27681"/>
    <cellStyle name="Procentowy 3 18 23" xfId="27682"/>
    <cellStyle name="Procentowy 3 18 23 2" xfId="27683"/>
    <cellStyle name="Procentowy 3 18 24" xfId="27684"/>
    <cellStyle name="Procentowy 3 18 24 2" xfId="27685"/>
    <cellStyle name="Procentowy 3 18 25" xfId="27686"/>
    <cellStyle name="Procentowy 3 18 25 2" xfId="27687"/>
    <cellStyle name="Procentowy 3 18 26" xfId="27688"/>
    <cellStyle name="Procentowy 3 18 26 2" xfId="27689"/>
    <cellStyle name="Procentowy 3 18 27" xfId="27690"/>
    <cellStyle name="Procentowy 3 18 27 2" xfId="27691"/>
    <cellStyle name="Procentowy 3 18 28" xfId="27692"/>
    <cellStyle name="Procentowy 3 18 28 2" xfId="27693"/>
    <cellStyle name="Procentowy 3 18 29" xfId="27694"/>
    <cellStyle name="Procentowy 3 18 29 2" xfId="27695"/>
    <cellStyle name="Procentowy 3 18 3" xfId="27696"/>
    <cellStyle name="Procentowy 3 18 3 2" xfId="27697"/>
    <cellStyle name="Procentowy 3 18 3 3" xfId="27698"/>
    <cellStyle name="Procentowy 3 18 3 4" xfId="27699"/>
    <cellStyle name="Procentowy 3 18 3 5" xfId="27700"/>
    <cellStyle name="Procentowy 3 18 3 6" xfId="27701"/>
    <cellStyle name="Procentowy 3 18 3 7" xfId="27702"/>
    <cellStyle name="Procentowy 3 18 30" xfId="27703"/>
    <cellStyle name="Procentowy 3 18 30 2" xfId="27704"/>
    <cellStyle name="Procentowy 3 18 31" xfId="27705"/>
    <cellStyle name="Procentowy 3 18 31 2" xfId="27706"/>
    <cellStyle name="Procentowy 3 18 32" xfId="27707"/>
    <cellStyle name="Procentowy 3 18 33" xfId="27708"/>
    <cellStyle name="Procentowy 3 18 34" xfId="27709"/>
    <cellStyle name="Procentowy 3 18 35" xfId="27710"/>
    <cellStyle name="Procentowy 3 18 36" xfId="27711"/>
    <cellStyle name="Procentowy 3 18 37" xfId="27712"/>
    <cellStyle name="Procentowy 3 18 38" xfId="27713"/>
    <cellStyle name="Procentowy 3 18 39" xfId="27714"/>
    <cellStyle name="Procentowy 3 18 4" xfId="27715"/>
    <cellStyle name="Procentowy 3 18 4 2" xfId="27716"/>
    <cellStyle name="Procentowy 3 18 4 3" xfId="27717"/>
    <cellStyle name="Procentowy 3 18 4 4" xfId="27718"/>
    <cellStyle name="Procentowy 3 18 4 5" xfId="27719"/>
    <cellStyle name="Procentowy 3 18 4 6" xfId="27720"/>
    <cellStyle name="Procentowy 3 18 4 7" xfId="27721"/>
    <cellStyle name="Procentowy 3 18 40" xfId="27722"/>
    <cellStyle name="Procentowy 3 18 41" xfId="27723"/>
    <cellStyle name="Procentowy 3 18 42" xfId="27724"/>
    <cellStyle name="Procentowy 3 18 43" xfId="27725"/>
    <cellStyle name="Procentowy 3 18 44" xfId="27726"/>
    <cellStyle name="Procentowy 3 18 45" xfId="27727"/>
    <cellStyle name="Procentowy 3 18 46" xfId="27728"/>
    <cellStyle name="Procentowy 3 18 47" xfId="27729"/>
    <cellStyle name="Procentowy 3 18 48" xfId="27730"/>
    <cellStyle name="Procentowy 3 18 49" xfId="27731"/>
    <cellStyle name="Procentowy 3 18 5" xfId="27732"/>
    <cellStyle name="Procentowy 3 18 5 2" xfId="27733"/>
    <cellStyle name="Procentowy 3 18 5 3" xfId="27734"/>
    <cellStyle name="Procentowy 3 18 5 4" xfId="27735"/>
    <cellStyle name="Procentowy 3 18 5 5" xfId="27736"/>
    <cellStyle name="Procentowy 3 18 5 6" xfId="27737"/>
    <cellStyle name="Procentowy 3 18 5 7" xfId="27738"/>
    <cellStyle name="Procentowy 3 18 50" xfId="27739"/>
    <cellStyle name="Procentowy 3 18 51" xfId="27740"/>
    <cellStyle name="Procentowy 3 18 52" xfId="27741"/>
    <cellStyle name="Procentowy 3 18 53" xfId="27742"/>
    <cellStyle name="Procentowy 3 18 54" xfId="27743"/>
    <cellStyle name="Procentowy 3 18 55" xfId="27744"/>
    <cellStyle name="Procentowy 3 18 56" xfId="27745"/>
    <cellStyle name="Procentowy 3 18 57" xfId="27746"/>
    <cellStyle name="Procentowy 3 18 58" xfId="27747"/>
    <cellStyle name="Procentowy 3 18 59" xfId="27748"/>
    <cellStyle name="Procentowy 3 18 6" xfId="27749"/>
    <cellStyle name="Procentowy 3 18 6 2" xfId="27750"/>
    <cellStyle name="Procentowy 3 18 60" xfId="27751"/>
    <cellStyle name="Procentowy 3 18 61" xfId="27752"/>
    <cellStyle name="Procentowy 3 18 62" xfId="27753"/>
    <cellStyle name="Procentowy 3 18 63" xfId="27754"/>
    <cellStyle name="Procentowy 3 18 64" xfId="27755"/>
    <cellStyle name="Procentowy 3 18 65" xfId="27756"/>
    <cellStyle name="Procentowy 3 18 66" xfId="27757"/>
    <cellStyle name="Procentowy 3 18 67" xfId="27758"/>
    <cellStyle name="Procentowy 3 18 68" xfId="27759"/>
    <cellStyle name="Procentowy 3 18 69" xfId="27760"/>
    <cellStyle name="Procentowy 3 18 7" xfId="27761"/>
    <cellStyle name="Procentowy 3 18 7 2" xfId="27762"/>
    <cellStyle name="Procentowy 3 18 70" xfId="27763"/>
    <cellStyle name="Procentowy 3 18 71" xfId="27764"/>
    <cellStyle name="Procentowy 3 18 72" xfId="27765"/>
    <cellStyle name="Procentowy 3 18 73" xfId="27766"/>
    <cellStyle name="Procentowy 3 18 74" xfId="27767"/>
    <cellStyle name="Procentowy 3 18 8" xfId="27768"/>
    <cellStyle name="Procentowy 3 18 8 2" xfId="27769"/>
    <cellStyle name="Procentowy 3 18 9" xfId="27770"/>
    <cellStyle name="Procentowy 3 18 9 2" xfId="27771"/>
    <cellStyle name="Procentowy 3 19" xfId="27772"/>
    <cellStyle name="Procentowy 3 19 10" xfId="27773"/>
    <cellStyle name="Procentowy 3 19 10 2" xfId="27774"/>
    <cellStyle name="Procentowy 3 19 11" xfId="27775"/>
    <cellStyle name="Procentowy 3 19 11 2" xfId="27776"/>
    <cellStyle name="Procentowy 3 19 12" xfId="27777"/>
    <cellStyle name="Procentowy 3 19 12 2" xfId="27778"/>
    <cellStyle name="Procentowy 3 19 13" xfId="27779"/>
    <cellStyle name="Procentowy 3 19 13 2" xfId="27780"/>
    <cellStyle name="Procentowy 3 19 14" xfId="27781"/>
    <cellStyle name="Procentowy 3 19 14 2" xfId="27782"/>
    <cellStyle name="Procentowy 3 19 15" xfId="27783"/>
    <cellStyle name="Procentowy 3 19 15 2" xfId="27784"/>
    <cellStyle name="Procentowy 3 19 16" xfId="27785"/>
    <cellStyle name="Procentowy 3 19 16 2" xfId="27786"/>
    <cellStyle name="Procentowy 3 19 17" xfId="27787"/>
    <cellStyle name="Procentowy 3 19 17 2" xfId="27788"/>
    <cellStyle name="Procentowy 3 19 18" xfId="27789"/>
    <cellStyle name="Procentowy 3 19 18 2" xfId="27790"/>
    <cellStyle name="Procentowy 3 19 19" xfId="27791"/>
    <cellStyle name="Procentowy 3 19 19 2" xfId="27792"/>
    <cellStyle name="Procentowy 3 19 2" xfId="27793"/>
    <cellStyle name="Procentowy 3 19 2 2" xfId="27794"/>
    <cellStyle name="Procentowy 3 19 2 3" xfId="27795"/>
    <cellStyle name="Procentowy 3 19 2 4" xfId="27796"/>
    <cellStyle name="Procentowy 3 19 2 5" xfId="27797"/>
    <cellStyle name="Procentowy 3 19 2 6" xfId="27798"/>
    <cellStyle name="Procentowy 3 19 2 7" xfId="27799"/>
    <cellStyle name="Procentowy 3 19 20" xfId="27800"/>
    <cellStyle name="Procentowy 3 19 20 2" xfId="27801"/>
    <cellStyle name="Procentowy 3 19 21" xfId="27802"/>
    <cellStyle name="Procentowy 3 19 21 2" xfId="27803"/>
    <cellStyle name="Procentowy 3 19 22" xfId="27804"/>
    <cellStyle name="Procentowy 3 19 22 2" xfId="27805"/>
    <cellStyle name="Procentowy 3 19 23" xfId="27806"/>
    <cellStyle name="Procentowy 3 19 23 2" xfId="27807"/>
    <cellStyle name="Procentowy 3 19 24" xfId="27808"/>
    <cellStyle name="Procentowy 3 19 24 2" xfId="27809"/>
    <cellStyle name="Procentowy 3 19 25" xfId="27810"/>
    <cellStyle name="Procentowy 3 19 25 2" xfId="27811"/>
    <cellStyle name="Procentowy 3 19 26" xfId="27812"/>
    <cellStyle name="Procentowy 3 19 26 2" xfId="27813"/>
    <cellStyle name="Procentowy 3 19 27" xfId="27814"/>
    <cellStyle name="Procentowy 3 19 27 2" xfId="27815"/>
    <cellStyle name="Procentowy 3 19 28" xfId="27816"/>
    <cellStyle name="Procentowy 3 19 28 2" xfId="27817"/>
    <cellStyle name="Procentowy 3 19 29" xfId="27818"/>
    <cellStyle name="Procentowy 3 19 29 2" xfId="27819"/>
    <cellStyle name="Procentowy 3 19 3" xfId="27820"/>
    <cellStyle name="Procentowy 3 19 3 2" xfId="27821"/>
    <cellStyle name="Procentowy 3 19 3 3" xfId="27822"/>
    <cellStyle name="Procentowy 3 19 3 4" xfId="27823"/>
    <cellStyle name="Procentowy 3 19 3 5" xfId="27824"/>
    <cellStyle name="Procentowy 3 19 3 6" xfId="27825"/>
    <cellStyle name="Procentowy 3 19 3 7" xfId="27826"/>
    <cellStyle name="Procentowy 3 19 30" xfId="27827"/>
    <cellStyle name="Procentowy 3 19 30 2" xfId="27828"/>
    <cellStyle name="Procentowy 3 19 31" xfId="27829"/>
    <cellStyle name="Procentowy 3 19 31 2" xfId="27830"/>
    <cellStyle name="Procentowy 3 19 32" xfId="27831"/>
    <cellStyle name="Procentowy 3 19 33" xfId="27832"/>
    <cellStyle name="Procentowy 3 19 34" xfId="27833"/>
    <cellStyle name="Procentowy 3 19 35" xfId="27834"/>
    <cellStyle name="Procentowy 3 19 36" xfId="27835"/>
    <cellStyle name="Procentowy 3 19 37" xfId="27836"/>
    <cellStyle name="Procentowy 3 19 38" xfId="27837"/>
    <cellStyle name="Procentowy 3 19 39" xfId="27838"/>
    <cellStyle name="Procentowy 3 19 4" xfId="27839"/>
    <cellStyle name="Procentowy 3 19 4 2" xfId="27840"/>
    <cellStyle name="Procentowy 3 19 4 3" xfId="27841"/>
    <cellStyle name="Procentowy 3 19 4 4" xfId="27842"/>
    <cellStyle name="Procentowy 3 19 4 5" xfId="27843"/>
    <cellStyle name="Procentowy 3 19 4 6" xfId="27844"/>
    <cellStyle name="Procentowy 3 19 4 7" xfId="27845"/>
    <cellStyle name="Procentowy 3 19 40" xfId="27846"/>
    <cellStyle name="Procentowy 3 19 41" xfId="27847"/>
    <cellStyle name="Procentowy 3 19 42" xfId="27848"/>
    <cellStyle name="Procentowy 3 19 43" xfId="27849"/>
    <cellStyle name="Procentowy 3 19 44" xfId="27850"/>
    <cellStyle name="Procentowy 3 19 45" xfId="27851"/>
    <cellStyle name="Procentowy 3 19 46" xfId="27852"/>
    <cellStyle name="Procentowy 3 19 47" xfId="27853"/>
    <cellStyle name="Procentowy 3 19 48" xfId="27854"/>
    <cellStyle name="Procentowy 3 19 49" xfId="27855"/>
    <cellStyle name="Procentowy 3 19 5" xfId="27856"/>
    <cellStyle name="Procentowy 3 19 5 2" xfId="27857"/>
    <cellStyle name="Procentowy 3 19 5 3" xfId="27858"/>
    <cellStyle name="Procentowy 3 19 5 4" xfId="27859"/>
    <cellStyle name="Procentowy 3 19 5 5" xfId="27860"/>
    <cellStyle name="Procentowy 3 19 5 6" xfId="27861"/>
    <cellStyle name="Procentowy 3 19 5 7" xfId="27862"/>
    <cellStyle name="Procentowy 3 19 50" xfId="27863"/>
    <cellStyle name="Procentowy 3 19 51" xfId="27864"/>
    <cellStyle name="Procentowy 3 19 52" xfId="27865"/>
    <cellStyle name="Procentowy 3 19 53" xfId="27866"/>
    <cellStyle name="Procentowy 3 19 54" xfId="27867"/>
    <cellStyle name="Procentowy 3 19 55" xfId="27868"/>
    <cellStyle name="Procentowy 3 19 56" xfId="27869"/>
    <cellStyle name="Procentowy 3 19 57" xfId="27870"/>
    <cellStyle name="Procentowy 3 19 58" xfId="27871"/>
    <cellStyle name="Procentowy 3 19 59" xfId="27872"/>
    <cellStyle name="Procentowy 3 19 6" xfId="27873"/>
    <cellStyle name="Procentowy 3 19 6 2" xfId="27874"/>
    <cellStyle name="Procentowy 3 19 60" xfId="27875"/>
    <cellStyle name="Procentowy 3 19 61" xfId="27876"/>
    <cellStyle name="Procentowy 3 19 62" xfId="27877"/>
    <cellStyle name="Procentowy 3 19 63" xfId="27878"/>
    <cellStyle name="Procentowy 3 19 64" xfId="27879"/>
    <cellStyle name="Procentowy 3 19 65" xfId="27880"/>
    <cellStyle name="Procentowy 3 19 66" xfId="27881"/>
    <cellStyle name="Procentowy 3 19 67" xfId="27882"/>
    <cellStyle name="Procentowy 3 19 68" xfId="27883"/>
    <cellStyle name="Procentowy 3 19 69" xfId="27884"/>
    <cellStyle name="Procentowy 3 19 7" xfId="27885"/>
    <cellStyle name="Procentowy 3 19 7 2" xfId="27886"/>
    <cellStyle name="Procentowy 3 19 70" xfId="27887"/>
    <cellStyle name="Procentowy 3 19 71" xfId="27888"/>
    <cellStyle name="Procentowy 3 19 72" xfId="27889"/>
    <cellStyle name="Procentowy 3 19 73" xfId="27890"/>
    <cellStyle name="Procentowy 3 19 74" xfId="27891"/>
    <cellStyle name="Procentowy 3 19 8" xfId="27892"/>
    <cellStyle name="Procentowy 3 19 8 2" xfId="27893"/>
    <cellStyle name="Procentowy 3 19 9" xfId="27894"/>
    <cellStyle name="Procentowy 3 19 9 2" xfId="27895"/>
    <cellStyle name="Procentowy 3 2" xfId="27896"/>
    <cellStyle name="Procentowy 3 2 10" xfId="27897"/>
    <cellStyle name="Procentowy 3 2 10 2" xfId="27898"/>
    <cellStyle name="Procentowy 3 2 11" xfId="27899"/>
    <cellStyle name="Procentowy 3 2 11 2" xfId="27900"/>
    <cellStyle name="Procentowy 3 2 12" xfId="27901"/>
    <cellStyle name="Procentowy 3 2 12 2" xfId="27902"/>
    <cellStyle name="Procentowy 3 2 13" xfId="27903"/>
    <cellStyle name="Procentowy 3 2 13 2" xfId="27904"/>
    <cellStyle name="Procentowy 3 2 14" xfId="27905"/>
    <cellStyle name="Procentowy 3 2 14 2" xfId="27906"/>
    <cellStyle name="Procentowy 3 2 15" xfId="27907"/>
    <cellStyle name="Procentowy 3 2 15 2" xfId="27908"/>
    <cellStyle name="Procentowy 3 2 16" xfId="27909"/>
    <cellStyle name="Procentowy 3 2 16 2" xfId="27910"/>
    <cellStyle name="Procentowy 3 2 17" xfId="27911"/>
    <cellStyle name="Procentowy 3 2 17 2" xfId="27912"/>
    <cellStyle name="Procentowy 3 2 18" xfId="27913"/>
    <cellStyle name="Procentowy 3 2 18 2" xfId="27914"/>
    <cellStyle name="Procentowy 3 2 19" xfId="27915"/>
    <cellStyle name="Procentowy 3 2 19 2" xfId="27916"/>
    <cellStyle name="Procentowy 3 2 2" xfId="27917"/>
    <cellStyle name="Procentowy 3 2 2 2" xfId="27918"/>
    <cellStyle name="Procentowy 3 2 2 2 2" xfId="27919"/>
    <cellStyle name="Procentowy 3 2 2 3" xfId="27920"/>
    <cellStyle name="Procentowy 3 2 2 4" xfId="27921"/>
    <cellStyle name="Procentowy 3 2 2 5" xfId="27922"/>
    <cellStyle name="Procentowy 3 2 2 6" xfId="27923"/>
    <cellStyle name="Procentowy 3 2 2 7" xfId="27924"/>
    <cellStyle name="Procentowy 3 2 2 8" xfId="27925"/>
    <cellStyle name="Procentowy 3 2 20" xfId="27926"/>
    <cellStyle name="Procentowy 3 2 20 2" xfId="27927"/>
    <cellStyle name="Procentowy 3 2 21" xfId="27928"/>
    <cellStyle name="Procentowy 3 2 21 2" xfId="27929"/>
    <cellStyle name="Procentowy 3 2 22" xfId="27930"/>
    <cellStyle name="Procentowy 3 2 22 2" xfId="27931"/>
    <cellStyle name="Procentowy 3 2 23" xfId="27932"/>
    <cellStyle name="Procentowy 3 2 23 2" xfId="27933"/>
    <cellStyle name="Procentowy 3 2 24" xfId="27934"/>
    <cellStyle name="Procentowy 3 2 24 2" xfId="27935"/>
    <cellStyle name="Procentowy 3 2 25" xfId="27936"/>
    <cellStyle name="Procentowy 3 2 25 2" xfId="27937"/>
    <cellStyle name="Procentowy 3 2 26" xfId="27938"/>
    <cellStyle name="Procentowy 3 2 26 2" xfId="27939"/>
    <cellStyle name="Procentowy 3 2 27" xfId="27940"/>
    <cellStyle name="Procentowy 3 2 27 2" xfId="27941"/>
    <cellStyle name="Procentowy 3 2 28" xfId="27942"/>
    <cellStyle name="Procentowy 3 2 28 2" xfId="27943"/>
    <cellStyle name="Procentowy 3 2 29" xfId="27944"/>
    <cellStyle name="Procentowy 3 2 29 2" xfId="27945"/>
    <cellStyle name="Procentowy 3 2 3" xfId="27946"/>
    <cellStyle name="Procentowy 3 2 3 2" xfId="27947"/>
    <cellStyle name="Procentowy 3 2 3 2 2" xfId="27948"/>
    <cellStyle name="Procentowy 3 2 3 3" xfId="27949"/>
    <cellStyle name="Procentowy 3 2 3 4" xfId="27950"/>
    <cellStyle name="Procentowy 3 2 3 5" xfId="27951"/>
    <cellStyle name="Procentowy 3 2 3 6" xfId="27952"/>
    <cellStyle name="Procentowy 3 2 3 7" xfId="27953"/>
    <cellStyle name="Procentowy 3 2 3 8" xfId="27954"/>
    <cellStyle name="Procentowy 3 2 30" xfId="27955"/>
    <cellStyle name="Procentowy 3 2 30 2" xfId="27956"/>
    <cellStyle name="Procentowy 3 2 31" xfId="27957"/>
    <cellStyle name="Procentowy 3 2 31 2" xfId="27958"/>
    <cellStyle name="Procentowy 3 2 32" xfId="27959"/>
    <cellStyle name="Procentowy 3 2 33" xfId="27960"/>
    <cellStyle name="Procentowy 3 2 34" xfId="27961"/>
    <cellStyle name="Procentowy 3 2 35" xfId="27962"/>
    <cellStyle name="Procentowy 3 2 36" xfId="27963"/>
    <cellStyle name="Procentowy 3 2 37" xfId="27964"/>
    <cellStyle name="Procentowy 3 2 38" xfId="27965"/>
    <cellStyle name="Procentowy 3 2 39" xfId="27966"/>
    <cellStyle name="Procentowy 3 2 4" xfId="27967"/>
    <cellStyle name="Procentowy 3 2 4 2" xfId="27968"/>
    <cellStyle name="Procentowy 3 2 4 2 2" xfId="27969"/>
    <cellStyle name="Procentowy 3 2 4 3" xfId="27970"/>
    <cellStyle name="Procentowy 3 2 4 4" xfId="27971"/>
    <cellStyle name="Procentowy 3 2 4 5" xfId="27972"/>
    <cellStyle name="Procentowy 3 2 4 6" xfId="27973"/>
    <cellStyle name="Procentowy 3 2 4 7" xfId="27974"/>
    <cellStyle name="Procentowy 3 2 4 8" xfId="27975"/>
    <cellStyle name="Procentowy 3 2 40" xfId="27976"/>
    <cellStyle name="Procentowy 3 2 41" xfId="27977"/>
    <cellStyle name="Procentowy 3 2 42" xfId="27978"/>
    <cellStyle name="Procentowy 3 2 43" xfId="27979"/>
    <cellStyle name="Procentowy 3 2 44" xfId="27980"/>
    <cellStyle name="Procentowy 3 2 45" xfId="27981"/>
    <cellStyle name="Procentowy 3 2 46" xfId="27982"/>
    <cellStyle name="Procentowy 3 2 47" xfId="27983"/>
    <cellStyle name="Procentowy 3 2 48" xfId="27984"/>
    <cellStyle name="Procentowy 3 2 49" xfId="27985"/>
    <cellStyle name="Procentowy 3 2 5" xfId="27986"/>
    <cellStyle name="Procentowy 3 2 5 2" xfId="27987"/>
    <cellStyle name="Procentowy 3 2 5 2 2" xfId="27988"/>
    <cellStyle name="Procentowy 3 2 5 3" xfId="27989"/>
    <cellStyle name="Procentowy 3 2 5 4" xfId="27990"/>
    <cellStyle name="Procentowy 3 2 5 5" xfId="27991"/>
    <cellStyle name="Procentowy 3 2 5 6" xfId="27992"/>
    <cellStyle name="Procentowy 3 2 5 7" xfId="27993"/>
    <cellStyle name="Procentowy 3 2 5 8" xfId="27994"/>
    <cellStyle name="Procentowy 3 2 50" xfId="27995"/>
    <cellStyle name="Procentowy 3 2 51" xfId="27996"/>
    <cellStyle name="Procentowy 3 2 52" xfId="27997"/>
    <cellStyle name="Procentowy 3 2 53" xfId="27998"/>
    <cellStyle name="Procentowy 3 2 54" xfId="27999"/>
    <cellStyle name="Procentowy 3 2 55" xfId="28000"/>
    <cellStyle name="Procentowy 3 2 56" xfId="28001"/>
    <cellStyle name="Procentowy 3 2 57" xfId="28002"/>
    <cellStyle name="Procentowy 3 2 58" xfId="28003"/>
    <cellStyle name="Procentowy 3 2 59" xfId="28004"/>
    <cellStyle name="Procentowy 3 2 6" xfId="28005"/>
    <cellStyle name="Procentowy 3 2 6 2" xfId="28006"/>
    <cellStyle name="Procentowy 3 2 6 3" xfId="28007"/>
    <cellStyle name="Procentowy 3 2 60" xfId="28008"/>
    <cellStyle name="Procentowy 3 2 61" xfId="28009"/>
    <cellStyle name="Procentowy 3 2 62" xfId="28010"/>
    <cellStyle name="Procentowy 3 2 63" xfId="28011"/>
    <cellStyle name="Procentowy 3 2 64" xfId="28012"/>
    <cellStyle name="Procentowy 3 2 65" xfId="28013"/>
    <cellStyle name="Procentowy 3 2 66" xfId="28014"/>
    <cellStyle name="Procentowy 3 2 67" xfId="28015"/>
    <cellStyle name="Procentowy 3 2 68" xfId="28016"/>
    <cellStyle name="Procentowy 3 2 69" xfId="28017"/>
    <cellStyle name="Procentowy 3 2 7" xfId="28018"/>
    <cellStyle name="Procentowy 3 2 7 2" xfId="28019"/>
    <cellStyle name="Procentowy 3 2 70" xfId="28020"/>
    <cellStyle name="Procentowy 3 2 71" xfId="28021"/>
    <cellStyle name="Procentowy 3 2 72" xfId="28022"/>
    <cellStyle name="Procentowy 3 2 73" xfId="28023"/>
    <cellStyle name="Procentowy 3 2 74" xfId="28024"/>
    <cellStyle name="Procentowy 3 2 75" xfId="28025"/>
    <cellStyle name="Procentowy 3 2 8" xfId="28026"/>
    <cellStyle name="Procentowy 3 2 8 2" xfId="28027"/>
    <cellStyle name="Procentowy 3 2 9" xfId="28028"/>
    <cellStyle name="Procentowy 3 2 9 2" xfId="28029"/>
    <cellStyle name="Procentowy 3 20" xfId="28030"/>
    <cellStyle name="Procentowy 3 20 10" xfId="28031"/>
    <cellStyle name="Procentowy 3 20 10 2" xfId="28032"/>
    <cellStyle name="Procentowy 3 20 11" xfId="28033"/>
    <cellStyle name="Procentowy 3 20 11 2" xfId="28034"/>
    <cellStyle name="Procentowy 3 20 12" xfId="28035"/>
    <cellStyle name="Procentowy 3 20 12 2" xfId="28036"/>
    <cellStyle name="Procentowy 3 20 13" xfId="28037"/>
    <cellStyle name="Procentowy 3 20 13 2" xfId="28038"/>
    <cellStyle name="Procentowy 3 20 14" xfId="28039"/>
    <cellStyle name="Procentowy 3 20 14 2" xfId="28040"/>
    <cellStyle name="Procentowy 3 20 15" xfId="28041"/>
    <cellStyle name="Procentowy 3 20 15 2" xfId="28042"/>
    <cellStyle name="Procentowy 3 20 16" xfId="28043"/>
    <cellStyle name="Procentowy 3 20 16 2" xfId="28044"/>
    <cellStyle name="Procentowy 3 20 17" xfId="28045"/>
    <cellStyle name="Procentowy 3 20 17 2" xfId="28046"/>
    <cellStyle name="Procentowy 3 20 18" xfId="28047"/>
    <cellStyle name="Procentowy 3 20 18 2" xfId="28048"/>
    <cellStyle name="Procentowy 3 20 19" xfId="28049"/>
    <cellStyle name="Procentowy 3 20 19 2" xfId="28050"/>
    <cellStyle name="Procentowy 3 20 2" xfId="28051"/>
    <cellStyle name="Procentowy 3 20 2 2" xfId="28052"/>
    <cellStyle name="Procentowy 3 20 2 3" xfId="28053"/>
    <cellStyle name="Procentowy 3 20 2 4" xfId="28054"/>
    <cellStyle name="Procentowy 3 20 2 5" xfId="28055"/>
    <cellStyle name="Procentowy 3 20 2 6" xfId="28056"/>
    <cellStyle name="Procentowy 3 20 2 7" xfId="28057"/>
    <cellStyle name="Procentowy 3 20 20" xfId="28058"/>
    <cellStyle name="Procentowy 3 20 20 2" xfId="28059"/>
    <cellStyle name="Procentowy 3 20 21" xfId="28060"/>
    <cellStyle name="Procentowy 3 20 21 2" xfId="28061"/>
    <cellStyle name="Procentowy 3 20 22" xfId="28062"/>
    <cellStyle name="Procentowy 3 20 22 2" xfId="28063"/>
    <cellStyle name="Procentowy 3 20 23" xfId="28064"/>
    <cellStyle name="Procentowy 3 20 23 2" xfId="28065"/>
    <cellStyle name="Procentowy 3 20 24" xfId="28066"/>
    <cellStyle name="Procentowy 3 20 24 2" xfId="28067"/>
    <cellStyle name="Procentowy 3 20 25" xfId="28068"/>
    <cellStyle name="Procentowy 3 20 25 2" xfId="28069"/>
    <cellStyle name="Procentowy 3 20 26" xfId="28070"/>
    <cellStyle name="Procentowy 3 20 26 2" xfId="28071"/>
    <cellStyle name="Procentowy 3 20 27" xfId="28072"/>
    <cellStyle name="Procentowy 3 20 27 2" xfId="28073"/>
    <cellStyle name="Procentowy 3 20 28" xfId="28074"/>
    <cellStyle name="Procentowy 3 20 28 2" xfId="28075"/>
    <cellStyle name="Procentowy 3 20 29" xfId="28076"/>
    <cellStyle name="Procentowy 3 20 29 2" xfId="28077"/>
    <cellStyle name="Procentowy 3 20 3" xfId="28078"/>
    <cellStyle name="Procentowy 3 20 3 2" xfId="28079"/>
    <cellStyle name="Procentowy 3 20 3 3" xfId="28080"/>
    <cellStyle name="Procentowy 3 20 3 4" xfId="28081"/>
    <cellStyle name="Procentowy 3 20 3 5" xfId="28082"/>
    <cellStyle name="Procentowy 3 20 3 6" xfId="28083"/>
    <cellStyle name="Procentowy 3 20 3 7" xfId="28084"/>
    <cellStyle name="Procentowy 3 20 30" xfId="28085"/>
    <cellStyle name="Procentowy 3 20 30 2" xfId="28086"/>
    <cellStyle name="Procentowy 3 20 31" xfId="28087"/>
    <cellStyle name="Procentowy 3 20 31 2" xfId="28088"/>
    <cellStyle name="Procentowy 3 20 32" xfId="28089"/>
    <cellStyle name="Procentowy 3 20 33" xfId="28090"/>
    <cellStyle name="Procentowy 3 20 34" xfId="28091"/>
    <cellStyle name="Procentowy 3 20 35" xfId="28092"/>
    <cellStyle name="Procentowy 3 20 36" xfId="28093"/>
    <cellStyle name="Procentowy 3 20 37" xfId="28094"/>
    <cellStyle name="Procentowy 3 20 38" xfId="28095"/>
    <cellStyle name="Procentowy 3 20 39" xfId="28096"/>
    <cellStyle name="Procentowy 3 20 4" xfId="28097"/>
    <cellStyle name="Procentowy 3 20 4 2" xfId="28098"/>
    <cellStyle name="Procentowy 3 20 4 3" xfId="28099"/>
    <cellStyle name="Procentowy 3 20 4 4" xfId="28100"/>
    <cellStyle name="Procentowy 3 20 4 5" xfId="28101"/>
    <cellStyle name="Procentowy 3 20 4 6" xfId="28102"/>
    <cellStyle name="Procentowy 3 20 4 7" xfId="28103"/>
    <cellStyle name="Procentowy 3 20 40" xfId="28104"/>
    <cellStyle name="Procentowy 3 20 41" xfId="28105"/>
    <cellStyle name="Procentowy 3 20 42" xfId="28106"/>
    <cellStyle name="Procentowy 3 20 43" xfId="28107"/>
    <cellStyle name="Procentowy 3 20 44" xfId="28108"/>
    <cellStyle name="Procentowy 3 20 45" xfId="28109"/>
    <cellStyle name="Procentowy 3 20 46" xfId="28110"/>
    <cellStyle name="Procentowy 3 20 47" xfId="28111"/>
    <cellStyle name="Procentowy 3 20 48" xfId="28112"/>
    <cellStyle name="Procentowy 3 20 49" xfId="28113"/>
    <cellStyle name="Procentowy 3 20 5" xfId="28114"/>
    <cellStyle name="Procentowy 3 20 5 2" xfId="28115"/>
    <cellStyle name="Procentowy 3 20 5 3" xfId="28116"/>
    <cellStyle name="Procentowy 3 20 5 4" xfId="28117"/>
    <cellStyle name="Procentowy 3 20 5 5" xfId="28118"/>
    <cellStyle name="Procentowy 3 20 5 6" xfId="28119"/>
    <cellStyle name="Procentowy 3 20 5 7" xfId="28120"/>
    <cellStyle name="Procentowy 3 20 50" xfId="28121"/>
    <cellStyle name="Procentowy 3 20 51" xfId="28122"/>
    <cellStyle name="Procentowy 3 20 52" xfId="28123"/>
    <cellStyle name="Procentowy 3 20 53" xfId="28124"/>
    <cellStyle name="Procentowy 3 20 54" xfId="28125"/>
    <cellStyle name="Procentowy 3 20 55" xfId="28126"/>
    <cellStyle name="Procentowy 3 20 56" xfId="28127"/>
    <cellStyle name="Procentowy 3 20 57" xfId="28128"/>
    <cellStyle name="Procentowy 3 20 58" xfId="28129"/>
    <cellStyle name="Procentowy 3 20 59" xfId="28130"/>
    <cellStyle name="Procentowy 3 20 6" xfId="28131"/>
    <cellStyle name="Procentowy 3 20 6 2" xfId="28132"/>
    <cellStyle name="Procentowy 3 20 60" xfId="28133"/>
    <cellStyle name="Procentowy 3 20 61" xfId="28134"/>
    <cellStyle name="Procentowy 3 20 62" xfId="28135"/>
    <cellStyle name="Procentowy 3 20 63" xfId="28136"/>
    <cellStyle name="Procentowy 3 20 64" xfId="28137"/>
    <cellStyle name="Procentowy 3 20 65" xfId="28138"/>
    <cellStyle name="Procentowy 3 20 66" xfId="28139"/>
    <cellStyle name="Procentowy 3 20 67" xfId="28140"/>
    <cellStyle name="Procentowy 3 20 68" xfId="28141"/>
    <cellStyle name="Procentowy 3 20 69" xfId="28142"/>
    <cellStyle name="Procentowy 3 20 7" xfId="28143"/>
    <cellStyle name="Procentowy 3 20 7 2" xfId="28144"/>
    <cellStyle name="Procentowy 3 20 70" xfId="28145"/>
    <cellStyle name="Procentowy 3 20 71" xfId="28146"/>
    <cellStyle name="Procentowy 3 20 72" xfId="28147"/>
    <cellStyle name="Procentowy 3 20 73" xfId="28148"/>
    <cellStyle name="Procentowy 3 20 74" xfId="28149"/>
    <cellStyle name="Procentowy 3 20 8" xfId="28150"/>
    <cellStyle name="Procentowy 3 20 8 2" xfId="28151"/>
    <cellStyle name="Procentowy 3 20 9" xfId="28152"/>
    <cellStyle name="Procentowy 3 20 9 2" xfId="28153"/>
    <cellStyle name="Procentowy 3 21" xfId="28154"/>
    <cellStyle name="Procentowy 3 21 10" xfId="28155"/>
    <cellStyle name="Procentowy 3 21 10 2" xfId="28156"/>
    <cellStyle name="Procentowy 3 21 11" xfId="28157"/>
    <cellStyle name="Procentowy 3 21 11 2" xfId="28158"/>
    <cellStyle name="Procentowy 3 21 12" xfId="28159"/>
    <cellStyle name="Procentowy 3 21 12 2" xfId="28160"/>
    <cellStyle name="Procentowy 3 21 13" xfId="28161"/>
    <cellStyle name="Procentowy 3 21 13 2" xfId="28162"/>
    <cellStyle name="Procentowy 3 21 14" xfId="28163"/>
    <cellStyle name="Procentowy 3 21 14 2" xfId="28164"/>
    <cellStyle name="Procentowy 3 21 15" xfId="28165"/>
    <cellStyle name="Procentowy 3 21 15 2" xfId="28166"/>
    <cellStyle name="Procentowy 3 21 16" xfId="28167"/>
    <cellStyle name="Procentowy 3 21 16 2" xfId="28168"/>
    <cellStyle name="Procentowy 3 21 17" xfId="28169"/>
    <cellStyle name="Procentowy 3 21 17 2" xfId="28170"/>
    <cellStyle name="Procentowy 3 21 18" xfId="28171"/>
    <cellStyle name="Procentowy 3 21 18 2" xfId="28172"/>
    <cellStyle name="Procentowy 3 21 19" xfId="28173"/>
    <cellStyle name="Procentowy 3 21 19 2" xfId="28174"/>
    <cellStyle name="Procentowy 3 21 2" xfId="28175"/>
    <cellStyle name="Procentowy 3 21 2 2" xfId="28176"/>
    <cellStyle name="Procentowy 3 21 2 3" xfId="28177"/>
    <cellStyle name="Procentowy 3 21 2 4" xfId="28178"/>
    <cellStyle name="Procentowy 3 21 2 5" xfId="28179"/>
    <cellStyle name="Procentowy 3 21 2 6" xfId="28180"/>
    <cellStyle name="Procentowy 3 21 2 7" xfId="28181"/>
    <cellStyle name="Procentowy 3 21 20" xfId="28182"/>
    <cellStyle name="Procentowy 3 21 20 2" xfId="28183"/>
    <cellStyle name="Procentowy 3 21 21" xfId="28184"/>
    <cellStyle name="Procentowy 3 21 21 2" xfId="28185"/>
    <cellStyle name="Procentowy 3 21 22" xfId="28186"/>
    <cellStyle name="Procentowy 3 21 22 2" xfId="28187"/>
    <cellStyle name="Procentowy 3 21 23" xfId="28188"/>
    <cellStyle name="Procentowy 3 21 23 2" xfId="28189"/>
    <cellStyle name="Procentowy 3 21 24" xfId="28190"/>
    <cellStyle name="Procentowy 3 21 24 2" xfId="28191"/>
    <cellStyle name="Procentowy 3 21 25" xfId="28192"/>
    <cellStyle name="Procentowy 3 21 25 2" xfId="28193"/>
    <cellStyle name="Procentowy 3 21 26" xfId="28194"/>
    <cellStyle name="Procentowy 3 21 26 2" xfId="28195"/>
    <cellStyle name="Procentowy 3 21 27" xfId="28196"/>
    <cellStyle name="Procentowy 3 21 27 2" xfId="28197"/>
    <cellStyle name="Procentowy 3 21 28" xfId="28198"/>
    <cellStyle name="Procentowy 3 21 28 2" xfId="28199"/>
    <cellStyle name="Procentowy 3 21 29" xfId="28200"/>
    <cellStyle name="Procentowy 3 21 29 2" xfId="28201"/>
    <cellStyle name="Procentowy 3 21 3" xfId="28202"/>
    <cellStyle name="Procentowy 3 21 3 2" xfId="28203"/>
    <cellStyle name="Procentowy 3 21 3 3" xfId="28204"/>
    <cellStyle name="Procentowy 3 21 3 4" xfId="28205"/>
    <cellStyle name="Procentowy 3 21 3 5" xfId="28206"/>
    <cellStyle name="Procentowy 3 21 3 6" xfId="28207"/>
    <cellStyle name="Procentowy 3 21 3 7" xfId="28208"/>
    <cellStyle name="Procentowy 3 21 30" xfId="28209"/>
    <cellStyle name="Procentowy 3 21 30 2" xfId="28210"/>
    <cellStyle name="Procentowy 3 21 31" xfId="28211"/>
    <cellStyle name="Procentowy 3 21 31 2" xfId="28212"/>
    <cellStyle name="Procentowy 3 21 32" xfId="28213"/>
    <cellStyle name="Procentowy 3 21 33" xfId="28214"/>
    <cellStyle name="Procentowy 3 21 34" xfId="28215"/>
    <cellStyle name="Procentowy 3 21 35" xfId="28216"/>
    <cellStyle name="Procentowy 3 21 36" xfId="28217"/>
    <cellStyle name="Procentowy 3 21 37" xfId="28218"/>
    <cellStyle name="Procentowy 3 21 38" xfId="28219"/>
    <cellStyle name="Procentowy 3 21 39" xfId="28220"/>
    <cellStyle name="Procentowy 3 21 4" xfId="28221"/>
    <cellStyle name="Procentowy 3 21 4 2" xfId="28222"/>
    <cellStyle name="Procentowy 3 21 4 3" xfId="28223"/>
    <cellStyle name="Procentowy 3 21 4 4" xfId="28224"/>
    <cellStyle name="Procentowy 3 21 4 5" xfId="28225"/>
    <cellStyle name="Procentowy 3 21 4 6" xfId="28226"/>
    <cellStyle name="Procentowy 3 21 4 7" xfId="28227"/>
    <cellStyle name="Procentowy 3 21 40" xfId="28228"/>
    <cellStyle name="Procentowy 3 21 41" xfId="28229"/>
    <cellStyle name="Procentowy 3 21 42" xfId="28230"/>
    <cellStyle name="Procentowy 3 21 43" xfId="28231"/>
    <cellStyle name="Procentowy 3 21 44" xfId="28232"/>
    <cellStyle name="Procentowy 3 21 45" xfId="28233"/>
    <cellStyle name="Procentowy 3 21 46" xfId="28234"/>
    <cellStyle name="Procentowy 3 21 47" xfId="28235"/>
    <cellStyle name="Procentowy 3 21 48" xfId="28236"/>
    <cellStyle name="Procentowy 3 21 49" xfId="28237"/>
    <cellStyle name="Procentowy 3 21 5" xfId="28238"/>
    <cellStyle name="Procentowy 3 21 5 2" xfId="28239"/>
    <cellStyle name="Procentowy 3 21 5 3" xfId="28240"/>
    <cellStyle name="Procentowy 3 21 5 4" xfId="28241"/>
    <cellStyle name="Procentowy 3 21 5 5" xfId="28242"/>
    <cellStyle name="Procentowy 3 21 5 6" xfId="28243"/>
    <cellStyle name="Procentowy 3 21 5 7" xfId="28244"/>
    <cellStyle name="Procentowy 3 21 50" xfId="28245"/>
    <cellStyle name="Procentowy 3 21 51" xfId="28246"/>
    <cellStyle name="Procentowy 3 21 52" xfId="28247"/>
    <cellStyle name="Procentowy 3 21 53" xfId="28248"/>
    <cellStyle name="Procentowy 3 21 54" xfId="28249"/>
    <cellStyle name="Procentowy 3 21 55" xfId="28250"/>
    <cellStyle name="Procentowy 3 21 56" xfId="28251"/>
    <cellStyle name="Procentowy 3 21 57" xfId="28252"/>
    <cellStyle name="Procentowy 3 21 58" xfId="28253"/>
    <cellStyle name="Procentowy 3 21 59" xfId="28254"/>
    <cellStyle name="Procentowy 3 21 6" xfId="28255"/>
    <cellStyle name="Procentowy 3 21 6 2" xfId="28256"/>
    <cellStyle name="Procentowy 3 21 60" xfId="28257"/>
    <cellStyle name="Procentowy 3 21 61" xfId="28258"/>
    <cellStyle name="Procentowy 3 21 62" xfId="28259"/>
    <cellStyle name="Procentowy 3 21 63" xfId="28260"/>
    <cellStyle name="Procentowy 3 21 64" xfId="28261"/>
    <cellStyle name="Procentowy 3 21 65" xfId="28262"/>
    <cellStyle name="Procentowy 3 21 66" xfId="28263"/>
    <cellStyle name="Procentowy 3 21 67" xfId="28264"/>
    <cellStyle name="Procentowy 3 21 68" xfId="28265"/>
    <cellStyle name="Procentowy 3 21 69" xfId="28266"/>
    <cellStyle name="Procentowy 3 21 7" xfId="28267"/>
    <cellStyle name="Procentowy 3 21 7 2" xfId="28268"/>
    <cellStyle name="Procentowy 3 21 70" xfId="28269"/>
    <cellStyle name="Procentowy 3 21 71" xfId="28270"/>
    <cellStyle name="Procentowy 3 21 72" xfId="28271"/>
    <cellStyle name="Procentowy 3 21 73" xfId="28272"/>
    <cellStyle name="Procentowy 3 21 74" xfId="28273"/>
    <cellStyle name="Procentowy 3 21 8" xfId="28274"/>
    <cellStyle name="Procentowy 3 21 8 2" xfId="28275"/>
    <cellStyle name="Procentowy 3 21 9" xfId="28276"/>
    <cellStyle name="Procentowy 3 21 9 2" xfId="28277"/>
    <cellStyle name="Procentowy 3 22" xfId="28278"/>
    <cellStyle name="Procentowy 3 22 10" xfId="28279"/>
    <cellStyle name="Procentowy 3 22 10 2" xfId="28280"/>
    <cellStyle name="Procentowy 3 22 11" xfId="28281"/>
    <cellStyle name="Procentowy 3 22 11 2" xfId="28282"/>
    <cellStyle name="Procentowy 3 22 12" xfId="28283"/>
    <cellStyle name="Procentowy 3 22 12 2" xfId="28284"/>
    <cellStyle name="Procentowy 3 22 13" xfId="28285"/>
    <cellStyle name="Procentowy 3 22 13 2" xfId="28286"/>
    <cellStyle name="Procentowy 3 22 14" xfId="28287"/>
    <cellStyle name="Procentowy 3 22 14 2" xfId="28288"/>
    <cellStyle name="Procentowy 3 22 15" xfId="28289"/>
    <cellStyle name="Procentowy 3 22 15 2" xfId="28290"/>
    <cellStyle name="Procentowy 3 22 16" xfId="28291"/>
    <cellStyle name="Procentowy 3 22 16 2" xfId="28292"/>
    <cellStyle name="Procentowy 3 22 17" xfId="28293"/>
    <cellStyle name="Procentowy 3 22 17 2" xfId="28294"/>
    <cellStyle name="Procentowy 3 22 18" xfId="28295"/>
    <cellStyle name="Procentowy 3 22 18 2" xfId="28296"/>
    <cellStyle name="Procentowy 3 22 19" xfId="28297"/>
    <cellStyle name="Procentowy 3 22 19 2" xfId="28298"/>
    <cellStyle name="Procentowy 3 22 2" xfId="28299"/>
    <cellStyle name="Procentowy 3 22 2 2" xfId="28300"/>
    <cellStyle name="Procentowy 3 22 2 3" xfId="28301"/>
    <cellStyle name="Procentowy 3 22 2 4" xfId="28302"/>
    <cellStyle name="Procentowy 3 22 2 5" xfId="28303"/>
    <cellStyle name="Procentowy 3 22 2 6" xfId="28304"/>
    <cellStyle name="Procentowy 3 22 2 7" xfId="28305"/>
    <cellStyle name="Procentowy 3 22 20" xfId="28306"/>
    <cellStyle name="Procentowy 3 22 20 2" xfId="28307"/>
    <cellStyle name="Procentowy 3 22 21" xfId="28308"/>
    <cellStyle name="Procentowy 3 22 21 2" xfId="28309"/>
    <cellStyle name="Procentowy 3 22 22" xfId="28310"/>
    <cellStyle name="Procentowy 3 22 22 2" xfId="28311"/>
    <cellStyle name="Procentowy 3 22 23" xfId="28312"/>
    <cellStyle name="Procentowy 3 22 23 2" xfId="28313"/>
    <cellStyle name="Procentowy 3 22 24" xfId="28314"/>
    <cellStyle name="Procentowy 3 22 24 2" xfId="28315"/>
    <cellStyle name="Procentowy 3 22 25" xfId="28316"/>
    <cellStyle name="Procentowy 3 22 25 2" xfId="28317"/>
    <cellStyle name="Procentowy 3 22 26" xfId="28318"/>
    <cellStyle name="Procentowy 3 22 26 2" xfId="28319"/>
    <cellStyle name="Procentowy 3 22 27" xfId="28320"/>
    <cellStyle name="Procentowy 3 22 27 2" xfId="28321"/>
    <cellStyle name="Procentowy 3 22 28" xfId="28322"/>
    <cellStyle name="Procentowy 3 22 28 2" xfId="28323"/>
    <cellStyle name="Procentowy 3 22 29" xfId="28324"/>
    <cellStyle name="Procentowy 3 22 29 2" xfId="28325"/>
    <cellStyle name="Procentowy 3 22 3" xfId="28326"/>
    <cellStyle name="Procentowy 3 22 3 2" xfId="28327"/>
    <cellStyle name="Procentowy 3 22 3 3" xfId="28328"/>
    <cellStyle name="Procentowy 3 22 3 4" xfId="28329"/>
    <cellStyle name="Procentowy 3 22 3 5" xfId="28330"/>
    <cellStyle name="Procentowy 3 22 3 6" xfId="28331"/>
    <cellStyle name="Procentowy 3 22 3 7" xfId="28332"/>
    <cellStyle name="Procentowy 3 22 30" xfId="28333"/>
    <cellStyle name="Procentowy 3 22 30 2" xfId="28334"/>
    <cellStyle name="Procentowy 3 22 31" xfId="28335"/>
    <cellStyle name="Procentowy 3 22 31 2" xfId="28336"/>
    <cellStyle name="Procentowy 3 22 32" xfId="28337"/>
    <cellStyle name="Procentowy 3 22 33" xfId="28338"/>
    <cellStyle name="Procentowy 3 22 34" xfId="28339"/>
    <cellStyle name="Procentowy 3 22 35" xfId="28340"/>
    <cellStyle name="Procentowy 3 22 36" xfId="28341"/>
    <cellStyle name="Procentowy 3 22 37" xfId="28342"/>
    <cellStyle name="Procentowy 3 22 38" xfId="28343"/>
    <cellStyle name="Procentowy 3 22 39" xfId="28344"/>
    <cellStyle name="Procentowy 3 22 4" xfId="28345"/>
    <cellStyle name="Procentowy 3 22 4 2" xfId="28346"/>
    <cellStyle name="Procentowy 3 22 4 3" xfId="28347"/>
    <cellStyle name="Procentowy 3 22 4 4" xfId="28348"/>
    <cellStyle name="Procentowy 3 22 4 5" xfId="28349"/>
    <cellStyle name="Procentowy 3 22 4 6" xfId="28350"/>
    <cellStyle name="Procentowy 3 22 4 7" xfId="28351"/>
    <cellStyle name="Procentowy 3 22 40" xfId="28352"/>
    <cellStyle name="Procentowy 3 22 41" xfId="28353"/>
    <cellStyle name="Procentowy 3 22 42" xfId="28354"/>
    <cellStyle name="Procentowy 3 22 43" xfId="28355"/>
    <cellStyle name="Procentowy 3 22 44" xfId="28356"/>
    <cellStyle name="Procentowy 3 22 45" xfId="28357"/>
    <cellStyle name="Procentowy 3 22 46" xfId="28358"/>
    <cellStyle name="Procentowy 3 22 47" xfId="28359"/>
    <cellStyle name="Procentowy 3 22 48" xfId="28360"/>
    <cellStyle name="Procentowy 3 22 49" xfId="28361"/>
    <cellStyle name="Procentowy 3 22 5" xfId="28362"/>
    <cellStyle name="Procentowy 3 22 5 2" xfId="28363"/>
    <cellStyle name="Procentowy 3 22 5 3" xfId="28364"/>
    <cellStyle name="Procentowy 3 22 5 4" xfId="28365"/>
    <cellStyle name="Procentowy 3 22 5 5" xfId="28366"/>
    <cellStyle name="Procentowy 3 22 5 6" xfId="28367"/>
    <cellStyle name="Procentowy 3 22 5 7" xfId="28368"/>
    <cellStyle name="Procentowy 3 22 50" xfId="28369"/>
    <cellStyle name="Procentowy 3 22 51" xfId="28370"/>
    <cellStyle name="Procentowy 3 22 52" xfId="28371"/>
    <cellStyle name="Procentowy 3 22 53" xfId="28372"/>
    <cellStyle name="Procentowy 3 22 54" xfId="28373"/>
    <cellStyle name="Procentowy 3 22 55" xfId="28374"/>
    <cellStyle name="Procentowy 3 22 56" xfId="28375"/>
    <cellStyle name="Procentowy 3 22 57" xfId="28376"/>
    <cellStyle name="Procentowy 3 22 58" xfId="28377"/>
    <cellStyle name="Procentowy 3 22 59" xfId="28378"/>
    <cellStyle name="Procentowy 3 22 6" xfId="28379"/>
    <cellStyle name="Procentowy 3 22 6 2" xfId="28380"/>
    <cellStyle name="Procentowy 3 22 60" xfId="28381"/>
    <cellStyle name="Procentowy 3 22 61" xfId="28382"/>
    <cellStyle name="Procentowy 3 22 62" xfId="28383"/>
    <cellStyle name="Procentowy 3 22 63" xfId="28384"/>
    <cellStyle name="Procentowy 3 22 64" xfId="28385"/>
    <cellStyle name="Procentowy 3 22 65" xfId="28386"/>
    <cellStyle name="Procentowy 3 22 66" xfId="28387"/>
    <cellStyle name="Procentowy 3 22 67" xfId="28388"/>
    <cellStyle name="Procentowy 3 22 68" xfId="28389"/>
    <cellStyle name="Procentowy 3 22 69" xfId="28390"/>
    <cellStyle name="Procentowy 3 22 7" xfId="28391"/>
    <cellStyle name="Procentowy 3 22 7 2" xfId="28392"/>
    <cellStyle name="Procentowy 3 22 70" xfId="28393"/>
    <cellStyle name="Procentowy 3 22 71" xfId="28394"/>
    <cellStyle name="Procentowy 3 22 72" xfId="28395"/>
    <cellStyle name="Procentowy 3 22 73" xfId="28396"/>
    <cellStyle name="Procentowy 3 22 74" xfId="28397"/>
    <cellStyle name="Procentowy 3 22 8" xfId="28398"/>
    <cellStyle name="Procentowy 3 22 8 2" xfId="28399"/>
    <cellStyle name="Procentowy 3 22 9" xfId="28400"/>
    <cellStyle name="Procentowy 3 22 9 2" xfId="28401"/>
    <cellStyle name="Procentowy 3 23" xfId="28402"/>
    <cellStyle name="Procentowy 3 23 10" xfId="28403"/>
    <cellStyle name="Procentowy 3 23 10 2" xfId="28404"/>
    <cellStyle name="Procentowy 3 23 11" xfId="28405"/>
    <cellStyle name="Procentowy 3 23 11 2" xfId="28406"/>
    <cellStyle name="Procentowy 3 23 12" xfId="28407"/>
    <cellStyle name="Procentowy 3 23 12 2" xfId="28408"/>
    <cellStyle name="Procentowy 3 23 13" xfId="28409"/>
    <cellStyle name="Procentowy 3 23 13 2" xfId="28410"/>
    <cellStyle name="Procentowy 3 23 14" xfId="28411"/>
    <cellStyle name="Procentowy 3 23 14 2" xfId="28412"/>
    <cellStyle name="Procentowy 3 23 15" xfId="28413"/>
    <cellStyle name="Procentowy 3 23 15 2" xfId="28414"/>
    <cellStyle name="Procentowy 3 23 16" xfId="28415"/>
    <cellStyle name="Procentowy 3 23 16 2" xfId="28416"/>
    <cellStyle name="Procentowy 3 23 17" xfId="28417"/>
    <cellStyle name="Procentowy 3 23 17 2" xfId="28418"/>
    <cellStyle name="Procentowy 3 23 18" xfId="28419"/>
    <cellStyle name="Procentowy 3 23 18 2" xfId="28420"/>
    <cellStyle name="Procentowy 3 23 19" xfId="28421"/>
    <cellStyle name="Procentowy 3 23 19 2" xfId="28422"/>
    <cellStyle name="Procentowy 3 23 2" xfId="28423"/>
    <cellStyle name="Procentowy 3 23 2 2" xfId="28424"/>
    <cellStyle name="Procentowy 3 23 2 3" xfId="28425"/>
    <cellStyle name="Procentowy 3 23 2 4" xfId="28426"/>
    <cellStyle name="Procentowy 3 23 2 5" xfId="28427"/>
    <cellStyle name="Procentowy 3 23 2 6" xfId="28428"/>
    <cellStyle name="Procentowy 3 23 2 7" xfId="28429"/>
    <cellStyle name="Procentowy 3 23 20" xfId="28430"/>
    <cellStyle name="Procentowy 3 23 20 2" xfId="28431"/>
    <cellStyle name="Procentowy 3 23 21" xfId="28432"/>
    <cellStyle name="Procentowy 3 23 21 2" xfId="28433"/>
    <cellStyle name="Procentowy 3 23 22" xfId="28434"/>
    <cellStyle name="Procentowy 3 23 22 2" xfId="28435"/>
    <cellStyle name="Procentowy 3 23 23" xfId="28436"/>
    <cellStyle name="Procentowy 3 23 23 2" xfId="28437"/>
    <cellStyle name="Procentowy 3 23 24" xfId="28438"/>
    <cellStyle name="Procentowy 3 23 24 2" xfId="28439"/>
    <cellStyle name="Procentowy 3 23 25" xfId="28440"/>
    <cellStyle name="Procentowy 3 23 25 2" xfId="28441"/>
    <cellStyle name="Procentowy 3 23 26" xfId="28442"/>
    <cellStyle name="Procentowy 3 23 26 2" xfId="28443"/>
    <cellStyle name="Procentowy 3 23 27" xfId="28444"/>
    <cellStyle name="Procentowy 3 23 27 2" xfId="28445"/>
    <cellStyle name="Procentowy 3 23 28" xfId="28446"/>
    <cellStyle name="Procentowy 3 23 28 2" xfId="28447"/>
    <cellStyle name="Procentowy 3 23 29" xfId="28448"/>
    <cellStyle name="Procentowy 3 23 29 2" xfId="28449"/>
    <cellStyle name="Procentowy 3 23 3" xfId="28450"/>
    <cellStyle name="Procentowy 3 23 3 2" xfId="28451"/>
    <cellStyle name="Procentowy 3 23 3 3" xfId="28452"/>
    <cellStyle name="Procentowy 3 23 3 4" xfId="28453"/>
    <cellStyle name="Procentowy 3 23 3 5" xfId="28454"/>
    <cellStyle name="Procentowy 3 23 3 6" xfId="28455"/>
    <cellStyle name="Procentowy 3 23 3 7" xfId="28456"/>
    <cellStyle name="Procentowy 3 23 30" xfId="28457"/>
    <cellStyle name="Procentowy 3 23 30 2" xfId="28458"/>
    <cellStyle name="Procentowy 3 23 31" xfId="28459"/>
    <cellStyle name="Procentowy 3 23 31 2" xfId="28460"/>
    <cellStyle name="Procentowy 3 23 32" xfId="28461"/>
    <cellStyle name="Procentowy 3 23 33" xfId="28462"/>
    <cellStyle name="Procentowy 3 23 34" xfId="28463"/>
    <cellStyle name="Procentowy 3 23 35" xfId="28464"/>
    <cellStyle name="Procentowy 3 23 36" xfId="28465"/>
    <cellStyle name="Procentowy 3 23 37" xfId="28466"/>
    <cellStyle name="Procentowy 3 23 38" xfId="28467"/>
    <cellStyle name="Procentowy 3 23 39" xfId="28468"/>
    <cellStyle name="Procentowy 3 23 4" xfId="28469"/>
    <cellStyle name="Procentowy 3 23 4 2" xfId="28470"/>
    <cellStyle name="Procentowy 3 23 4 3" xfId="28471"/>
    <cellStyle name="Procentowy 3 23 4 4" xfId="28472"/>
    <cellStyle name="Procentowy 3 23 4 5" xfId="28473"/>
    <cellStyle name="Procentowy 3 23 4 6" xfId="28474"/>
    <cellStyle name="Procentowy 3 23 4 7" xfId="28475"/>
    <cellStyle name="Procentowy 3 23 40" xfId="28476"/>
    <cellStyle name="Procentowy 3 23 41" xfId="28477"/>
    <cellStyle name="Procentowy 3 23 42" xfId="28478"/>
    <cellStyle name="Procentowy 3 23 43" xfId="28479"/>
    <cellStyle name="Procentowy 3 23 44" xfId="28480"/>
    <cellStyle name="Procentowy 3 23 45" xfId="28481"/>
    <cellStyle name="Procentowy 3 23 46" xfId="28482"/>
    <cellStyle name="Procentowy 3 23 47" xfId="28483"/>
    <cellStyle name="Procentowy 3 23 48" xfId="28484"/>
    <cellStyle name="Procentowy 3 23 49" xfId="28485"/>
    <cellStyle name="Procentowy 3 23 5" xfId="28486"/>
    <cellStyle name="Procentowy 3 23 5 2" xfId="28487"/>
    <cellStyle name="Procentowy 3 23 5 3" xfId="28488"/>
    <cellStyle name="Procentowy 3 23 5 4" xfId="28489"/>
    <cellStyle name="Procentowy 3 23 5 5" xfId="28490"/>
    <cellStyle name="Procentowy 3 23 5 6" xfId="28491"/>
    <cellStyle name="Procentowy 3 23 5 7" xfId="28492"/>
    <cellStyle name="Procentowy 3 23 50" xfId="28493"/>
    <cellStyle name="Procentowy 3 23 51" xfId="28494"/>
    <cellStyle name="Procentowy 3 23 52" xfId="28495"/>
    <cellStyle name="Procentowy 3 23 53" xfId="28496"/>
    <cellStyle name="Procentowy 3 23 54" xfId="28497"/>
    <cellStyle name="Procentowy 3 23 55" xfId="28498"/>
    <cellStyle name="Procentowy 3 23 56" xfId="28499"/>
    <cellStyle name="Procentowy 3 23 57" xfId="28500"/>
    <cellStyle name="Procentowy 3 23 58" xfId="28501"/>
    <cellStyle name="Procentowy 3 23 59" xfId="28502"/>
    <cellStyle name="Procentowy 3 23 6" xfId="28503"/>
    <cellStyle name="Procentowy 3 23 6 2" xfId="28504"/>
    <cellStyle name="Procentowy 3 23 60" xfId="28505"/>
    <cellStyle name="Procentowy 3 23 61" xfId="28506"/>
    <cellStyle name="Procentowy 3 23 62" xfId="28507"/>
    <cellStyle name="Procentowy 3 23 63" xfId="28508"/>
    <cellStyle name="Procentowy 3 23 64" xfId="28509"/>
    <cellStyle name="Procentowy 3 23 65" xfId="28510"/>
    <cellStyle name="Procentowy 3 23 66" xfId="28511"/>
    <cellStyle name="Procentowy 3 23 67" xfId="28512"/>
    <cellStyle name="Procentowy 3 23 68" xfId="28513"/>
    <cellStyle name="Procentowy 3 23 69" xfId="28514"/>
    <cellStyle name="Procentowy 3 23 7" xfId="28515"/>
    <cellStyle name="Procentowy 3 23 7 2" xfId="28516"/>
    <cellStyle name="Procentowy 3 23 70" xfId="28517"/>
    <cellStyle name="Procentowy 3 23 71" xfId="28518"/>
    <cellStyle name="Procentowy 3 23 72" xfId="28519"/>
    <cellStyle name="Procentowy 3 23 73" xfId="28520"/>
    <cellStyle name="Procentowy 3 23 74" xfId="28521"/>
    <cellStyle name="Procentowy 3 23 8" xfId="28522"/>
    <cellStyle name="Procentowy 3 23 8 2" xfId="28523"/>
    <cellStyle name="Procentowy 3 23 9" xfId="28524"/>
    <cellStyle name="Procentowy 3 23 9 2" xfId="28525"/>
    <cellStyle name="Procentowy 3 24" xfId="28526"/>
    <cellStyle name="Procentowy 3 24 10" xfId="28527"/>
    <cellStyle name="Procentowy 3 24 10 2" xfId="28528"/>
    <cellStyle name="Procentowy 3 24 11" xfId="28529"/>
    <cellStyle name="Procentowy 3 24 11 2" xfId="28530"/>
    <cellStyle name="Procentowy 3 24 12" xfId="28531"/>
    <cellStyle name="Procentowy 3 24 12 2" xfId="28532"/>
    <cellStyle name="Procentowy 3 24 13" xfId="28533"/>
    <cellStyle name="Procentowy 3 24 13 2" xfId="28534"/>
    <cellStyle name="Procentowy 3 24 14" xfId="28535"/>
    <cellStyle name="Procentowy 3 24 14 2" xfId="28536"/>
    <cellStyle name="Procentowy 3 24 15" xfId="28537"/>
    <cellStyle name="Procentowy 3 24 15 2" xfId="28538"/>
    <cellStyle name="Procentowy 3 24 16" xfId="28539"/>
    <cellStyle name="Procentowy 3 24 16 2" xfId="28540"/>
    <cellStyle name="Procentowy 3 24 17" xfId="28541"/>
    <cellStyle name="Procentowy 3 24 17 2" xfId="28542"/>
    <cellStyle name="Procentowy 3 24 18" xfId="28543"/>
    <cellStyle name="Procentowy 3 24 18 2" xfId="28544"/>
    <cellStyle name="Procentowy 3 24 19" xfId="28545"/>
    <cellStyle name="Procentowy 3 24 19 2" xfId="28546"/>
    <cellStyle name="Procentowy 3 24 2" xfId="28547"/>
    <cellStyle name="Procentowy 3 24 2 2" xfId="28548"/>
    <cellStyle name="Procentowy 3 24 2 3" xfId="28549"/>
    <cellStyle name="Procentowy 3 24 2 4" xfId="28550"/>
    <cellStyle name="Procentowy 3 24 2 5" xfId="28551"/>
    <cellStyle name="Procentowy 3 24 2 6" xfId="28552"/>
    <cellStyle name="Procentowy 3 24 2 7" xfId="28553"/>
    <cellStyle name="Procentowy 3 24 20" xfId="28554"/>
    <cellStyle name="Procentowy 3 24 20 2" xfId="28555"/>
    <cellStyle name="Procentowy 3 24 21" xfId="28556"/>
    <cellStyle name="Procentowy 3 24 21 2" xfId="28557"/>
    <cellStyle name="Procentowy 3 24 22" xfId="28558"/>
    <cellStyle name="Procentowy 3 24 22 2" xfId="28559"/>
    <cellStyle name="Procentowy 3 24 23" xfId="28560"/>
    <cellStyle name="Procentowy 3 24 23 2" xfId="28561"/>
    <cellStyle name="Procentowy 3 24 24" xfId="28562"/>
    <cellStyle name="Procentowy 3 24 24 2" xfId="28563"/>
    <cellStyle name="Procentowy 3 24 25" xfId="28564"/>
    <cellStyle name="Procentowy 3 24 25 2" xfId="28565"/>
    <cellStyle name="Procentowy 3 24 26" xfId="28566"/>
    <cellStyle name="Procentowy 3 24 26 2" xfId="28567"/>
    <cellStyle name="Procentowy 3 24 27" xfId="28568"/>
    <cellStyle name="Procentowy 3 24 27 2" xfId="28569"/>
    <cellStyle name="Procentowy 3 24 28" xfId="28570"/>
    <cellStyle name="Procentowy 3 24 28 2" xfId="28571"/>
    <cellStyle name="Procentowy 3 24 29" xfId="28572"/>
    <cellStyle name="Procentowy 3 24 29 2" xfId="28573"/>
    <cellStyle name="Procentowy 3 24 3" xfId="28574"/>
    <cellStyle name="Procentowy 3 24 3 2" xfId="28575"/>
    <cellStyle name="Procentowy 3 24 3 3" xfId="28576"/>
    <cellStyle name="Procentowy 3 24 3 4" xfId="28577"/>
    <cellStyle name="Procentowy 3 24 3 5" xfId="28578"/>
    <cellStyle name="Procentowy 3 24 3 6" xfId="28579"/>
    <cellStyle name="Procentowy 3 24 3 7" xfId="28580"/>
    <cellStyle name="Procentowy 3 24 30" xfId="28581"/>
    <cellStyle name="Procentowy 3 24 30 2" xfId="28582"/>
    <cellStyle name="Procentowy 3 24 31" xfId="28583"/>
    <cellStyle name="Procentowy 3 24 31 2" xfId="28584"/>
    <cellStyle name="Procentowy 3 24 32" xfId="28585"/>
    <cellStyle name="Procentowy 3 24 33" xfId="28586"/>
    <cellStyle name="Procentowy 3 24 34" xfId="28587"/>
    <cellStyle name="Procentowy 3 24 35" xfId="28588"/>
    <cellStyle name="Procentowy 3 24 36" xfId="28589"/>
    <cellStyle name="Procentowy 3 24 37" xfId="28590"/>
    <cellStyle name="Procentowy 3 24 38" xfId="28591"/>
    <cellStyle name="Procentowy 3 24 39" xfId="28592"/>
    <cellStyle name="Procentowy 3 24 4" xfId="28593"/>
    <cellStyle name="Procentowy 3 24 4 2" xfId="28594"/>
    <cellStyle name="Procentowy 3 24 4 3" xfId="28595"/>
    <cellStyle name="Procentowy 3 24 4 4" xfId="28596"/>
    <cellStyle name="Procentowy 3 24 4 5" xfId="28597"/>
    <cellStyle name="Procentowy 3 24 4 6" xfId="28598"/>
    <cellStyle name="Procentowy 3 24 4 7" xfId="28599"/>
    <cellStyle name="Procentowy 3 24 40" xfId="28600"/>
    <cellStyle name="Procentowy 3 24 41" xfId="28601"/>
    <cellStyle name="Procentowy 3 24 42" xfId="28602"/>
    <cellStyle name="Procentowy 3 24 43" xfId="28603"/>
    <cellStyle name="Procentowy 3 24 44" xfId="28604"/>
    <cellStyle name="Procentowy 3 24 45" xfId="28605"/>
    <cellStyle name="Procentowy 3 24 46" xfId="28606"/>
    <cellStyle name="Procentowy 3 24 47" xfId="28607"/>
    <cellStyle name="Procentowy 3 24 48" xfId="28608"/>
    <cellStyle name="Procentowy 3 24 49" xfId="28609"/>
    <cellStyle name="Procentowy 3 24 5" xfId="28610"/>
    <cellStyle name="Procentowy 3 24 5 2" xfId="28611"/>
    <cellStyle name="Procentowy 3 24 5 3" xfId="28612"/>
    <cellStyle name="Procentowy 3 24 5 4" xfId="28613"/>
    <cellStyle name="Procentowy 3 24 5 5" xfId="28614"/>
    <cellStyle name="Procentowy 3 24 5 6" xfId="28615"/>
    <cellStyle name="Procentowy 3 24 5 7" xfId="28616"/>
    <cellStyle name="Procentowy 3 24 50" xfId="28617"/>
    <cellStyle name="Procentowy 3 24 51" xfId="28618"/>
    <cellStyle name="Procentowy 3 24 52" xfId="28619"/>
    <cellStyle name="Procentowy 3 24 53" xfId="28620"/>
    <cellStyle name="Procentowy 3 24 54" xfId="28621"/>
    <cellStyle name="Procentowy 3 24 55" xfId="28622"/>
    <cellStyle name="Procentowy 3 24 56" xfId="28623"/>
    <cellStyle name="Procentowy 3 24 57" xfId="28624"/>
    <cellStyle name="Procentowy 3 24 58" xfId="28625"/>
    <cellStyle name="Procentowy 3 24 59" xfId="28626"/>
    <cellStyle name="Procentowy 3 24 6" xfId="28627"/>
    <cellStyle name="Procentowy 3 24 6 2" xfId="28628"/>
    <cellStyle name="Procentowy 3 24 60" xfId="28629"/>
    <cellStyle name="Procentowy 3 24 61" xfId="28630"/>
    <cellStyle name="Procentowy 3 24 62" xfId="28631"/>
    <cellStyle name="Procentowy 3 24 63" xfId="28632"/>
    <cellStyle name="Procentowy 3 24 64" xfId="28633"/>
    <cellStyle name="Procentowy 3 24 65" xfId="28634"/>
    <cellStyle name="Procentowy 3 24 66" xfId="28635"/>
    <cellStyle name="Procentowy 3 24 67" xfId="28636"/>
    <cellStyle name="Procentowy 3 24 68" xfId="28637"/>
    <cellStyle name="Procentowy 3 24 69" xfId="28638"/>
    <cellStyle name="Procentowy 3 24 7" xfId="28639"/>
    <cellStyle name="Procentowy 3 24 7 2" xfId="28640"/>
    <cellStyle name="Procentowy 3 24 70" xfId="28641"/>
    <cellStyle name="Procentowy 3 24 71" xfId="28642"/>
    <cellStyle name="Procentowy 3 24 72" xfId="28643"/>
    <cellStyle name="Procentowy 3 24 73" xfId="28644"/>
    <cellStyle name="Procentowy 3 24 74" xfId="28645"/>
    <cellStyle name="Procentowy 3 24 8" xfId="28646"/>
    <cellStyle name="Procentowy 3 24 8 2" xfId="28647"/>
    <cellStyle name="Procentowy 3 24 9" xfId="28648"/>
    <cellStyle name="Procentowy 3 24 9 2" xfId="28649"/>
    <cellStyle name="Procentowy 3 25" xfId="28650"/>
    <cellStyle name="Procentowy 3 25 2" xfId="28651"/>
    <cellStyle name="Procentowy 3 25 3" xfId="28652"/>
    <cellStyle name="Procentowy 3 25 4" xfId="28653"/>
    <cellStyle name="Procentowy 3 25 5" xfId="28654"/>
    <cellStyle name="Procentowy 3 25 6" xfId="28655"/>
    <cellStyle name="Procentowy 3 25 7" xfId="28656"/>
    <cellStyle name="Procentowy 3 26" xfId="28657"/>
    <cellStyle name="Procentowy 3 26 2" xfId="28658"/>
    <cellStyle name="Procentowy 3 26 3" xfId="28659"/>
    <cellStyle name="Procentowy 3 26 4" xfId="28660"/>
    <cellStyle name="Procentowy 3 26 5" xfId="28661"/>
    <cellStyle name="Procentowy 3 26 6" xfId="28662"/>
    <cellStyle name="Procentowy 3 26 7" xfId="28663"/>
    <cellStyle name="Procentowy 3 27" xfId="28664"/>
    <cellStyle name="Procentowy 3 27 2" xfId="28665"/>
    <cellStyle name="Procentowy 3 27 3" xfId="28666"/>
    <cellStyle name="Procentowy 3 27 4" xfId="28667"/>
    <cellStyle name="Procentowy 3 27 5" xfId="28668"/>
    <cellStyle name="Procentowy 3 27 6" xfId="28669"/>
    <cellStyle name="Procentowy 3 27 7" xfId="28670"/>
    <cellStyle name="Procentowy 3 28" xfId="28671"/>
    <cellStyle name="Procentowy 3 28 2" xfId="28672"/>
    <cellStyle name="Procentowy 3 28 3" xfId="28673"/>
    <cellStyle name="Procentowy 3 28 4" xfId="28674"/>
    <cellStyle name="Procentowy 3 28 5" xfId="28675"/>
    <cellStyle name="Procentowy 3 28 6" xfId="28676"/>
    <cellStyle name="Procentowy 3 28 7" xfId="28677"/>
    <cellStyle name="Procentowy 3 29" xfId="28678"/>
    <cellStyle name="Procentowy 3 29 2" xfId="28679"/>
    <cellStyle name="Procentowy 3 3" xfId="28680"/>
    <cellStyle name="Procentowy 3 3 10" xfId="28681"/>
    <cellStyle name="Procentowy 3 3 10 2" xfId="28682"/>
    <cellStyle name="Procentowy 3 3 11" xfId="28683"/>
    <cellStyle name="Procentowy 3 3 11 2" xfId="28684"/>
    <cellStyle name="Procentowy 3 3 12" xfId="28685"/>
    <cellStyle name="Procentowy 3 3 12 2" xfId="28686"/>
    <cellStyle name="Procentowy 3 3 13" xfId="28687"/>
    <cellStyle name="Procentowy 3 3 13 2" xfId="28688"/>
    <cellStyle name="Procentowy 3 3 14" xfId="28689"/>
    <cellStyle name="Procentowy 3 3 14 2" xfId="28690"/>
    <cellStyle name="Procentowy 3 3 15" xfId="28691"/>
    <cellStyle name="Procentowy 3 3 15 2" xfId="28692"/>
    <cellStyle name="Procentowy 3 3 16" xfId="28693"/>
    <cellStyle name="Procentowy 3 3 16 2" xfId="28694"/>
    <cellStyle name="Procentowy 3 3 17" xfId="28695"/>
    <cellStyle name="Procentowy 3 3 17 2" xfId="28696"/>
    <cellStyle name="Procentowy 3 3 18" xfId="28697"/>
    <cellStyle name="Procentowy 3 3 18 2" xfId="28698"/>
    <cellStyle name="Procentowy 3 3 19" xfId="28699"/>
    <cellStyle name="Procentowy 3 3 19 2" xfId="28700"/>
    <cellStyle name="Procentowy 3 3 2" xfId="28701"/>
    <cellStyle name="Procentowy 3 3 2 2" xfId="28702"/>
    <cellStyle name="Procentowy 3 3 2 3" xfId="28703"/>
    <cellStyle name="Procentowy 3 3 2 4" xfId="28704"/>
    <cellStyle name="Procentowy 3 3 2 5" xfId="28705"/>
    <cellStyle name="Procentowy 3 3 2 6" xfId="28706"/>
    <cellStyle name="Procentowy 3 3 2 7" xfId="28707"/>
    <cellStyle name="Procentowy 3 3 20" xfId="28708"/>
    <cellStyle name="Procentowy 3 3 20 2" xfId="28709"/>
    <cellStyle name="Procentowy 3 3 21" xfId="28710"/>
    <cellStyle name="Procentowy 3 3 21 2" xfId="28711"/>
    <cellStyle name="Procentowy 3 3 22" xfId="28712"/>
    <cellStyle name="Procentowy 3 3 22 2" xfId="28713"/>
    <cellStyle name="Procentowy 3 3 23" xfId="28714"/>
    <cellStyle name="Procentowy 3 3 23 2" xfId="28715"/>
    <cellStyle name="Procentowy 3 3 24" xfId="28716"/>
    <cellStyle name="Procentowy 3 3 24 2" xfId="28717"/>
    <cellStyle name="Procentowy 3 3 25" xfId="28718"/>
    <cellStyle name="Procentowy 3 3 25 2" xfId="28719"/>
    <cellStyle name="Procentowy 3 3 26" xfId="28720"/>
    <cellStyle name="Procentowy 3 3 26 2" xfId="28721"/>
    <cellStyle name="Procentowy 3 3 27" xfId="28722"/>
    <cellStyle name="Procentowy 3 3 27 2" xfId="28723"/>
    <cellStyle name="Procentowy 3 3 28" xfId="28724"/>
    <cellStyle name="Procentowy 3 3 28 2" xfId="28725"/>
    <cellStyle name="Procentowy 3 3 29" xfId="28726"/>
    <cellStyle name="Procentowy 3 3 29 2" xfId="28727"/>
    <cellStyle name="Procentowy 3 3 3" xfId="28728"/>
    <cellStyle name="Procentowy 3 3 3 2" xfId="28729"/>
    <cellStyle name="Procentowy 3 3 3 3" xfId="28730"/>
    <cellStyle name="Procentowy 3 3 3 4" xfId="28731"/>
    <cellStyle name="Procentowy 3 3 3 5" xfId="28732"/>
    <cellStyle name="Procentowy 3 3 3 6" xfId="28733"/>
    <cellStyle name="Procentowy 3 3 3 7" xfId="28734"/>
    <cellStyle name="Procentowy 3 3 30" xfId="28735"/>
    <cellStyle name="Procentowy 3 3 30 2" xfId="28736"/>
    <cellStyle name="Procentowy 3 3 31" xfId="28737"/>
    <cellStyle name="Procentowy 3 3 31 2" xfId="28738"/>
    <cellStyle name="Procentowy 3 3 32" xfId="28739"/>
    <cellStyle name="Procentowy 3 3 33" xfId="28740"/>
    <cellStyle name="Procentowy 3 3 34" xfId="28741"/>
    <cellStyle name="Procentowy 3 3 35" xfId="28742"/>
    <cellStyle name="Procentowy 3 3 36" xfId="28743"/>
    <cellStyle name="Procentowy 3 3 37" xfId="28744"/>
    <cellStyle name="Procentowy 3 3 38" xfId="28745"/>
    <cellStyle name="Procentowy 3 3 39" xfId="28746"/>
    <cellStyle name="Procentowy 3 3 4" xfId="28747"/>
    <cellStyle name="Procentowy 3 3 4 2" xfId="28748"/>
    <cellStyle name="Procentowy 3 3 4 3" xfId="28749"/>
    <cellStyle name="Procentowy 3 3 4 4" xfId="28750"/>
    <cellStyle name="Procentowy 3 3 4 5" xfId="28751"/>
    <cellStyle name="Procentowy 3 3 4 6" xfId="28752"/>
    <cellStyle name="Procentowy 3 3 4 7" xfId="28753"/>
    <cellStyle name="Procentowy 3 3 40" xfId="28754"/>
    <cellStyle name="Procentowy 3 3 41" xfId="28755"/>
    <cellStyle name="Procentowy 3 3 42" xfId="28756"/>
    <cellStyle name="Procentowy 3 3 43" xfId="28757"/>
    <cellStyle name="Procentowy 3 3 44" xfId="28758"/>
    <cellStyle name="Procentowy 3 3 45" xfId="28759"/>
    <cellStyle name="Procentowy 3 3 46" xfId="28760"/>
    <cellStyle name="Procentowy 3 3 47" xfId="28761"/>
    <cellStyle name="Procentowy 3 3 48" xfId="28762"/>
    <cellStyle name="Procentowy 3 3 49" xfId="28763"/>
    <cellStyle name="Procentowy 3 3 5" xfId="28764"/>
    <cellStyle name="Procentowy 3 3 5 2" xfId="28765"/>
    <cellStyle name="Procentowy 3 3 5 3" xfId="28766"/>
    <cellStyle name="Procentowy 3 3 5 4" xfId="28767"/>
    <cellStyle name="Procentowy 3 3 5 5" xfId="28768"/>
    <cellStyle name="Procentowy 3 3 5 6" xfId="28769"/>
    <cellStyle name="Procentowy 3 3 5 7" xfId="28770"/>
    <cellStyle name="Procentowy 3 3 50" xfId="28771"/>
    <cellStyle name="Procentowy 3 3 51" xfId="28772"/>
    <cellStyle name="Procentowy 3 3 52" xfId="28773"/>
    <cellStyle name="Procentowy 3 3 53" xfId="28774"/>
    <cellStyle name="Procentowy 3 3 54" xfId="28775"/>
    <cellStyle name="Procentowy 3 3 55" xfId="28776"/>
    <cellStyle name="Procentowy 3 3 56" xfId="28777"/>
    <cellStyle name="Procentowy 3 3 57" xfId="28778"/>
    <cellStyle name="Procentowy 3 3 58" xfId="28779"/>
    <cellStyle name="Procentowy 3 3 59" xfId="28780"/>
    <cellStyle name="Procentowy 3 3 6" xfId="28781"/>
    <cellStyle name="Procentowy 3 3 6 2" xfId="28782"/>
    <cellStyle name="Procentowy 3 3 60" xfId="28783"/>
    <cellStyle name="Procentowy 3 3 61" xfId="28784"/>
    <cellStyle name="Procentowy 3 3 62" xfId="28785"/>
    <cellStyle name="Procentowy 3 3 63" xfId="28786"/>
    <cellStyle name="Procentowy 3 3 64" xfId="28787"/>
    <cellStyle name="Procentowy 3 3 65" xfId="28788"/>
    <cellStyle name="Procentowy 3 3 66" xfId="28789"/>
    <cellStyle name="Procentowy 3 3 67" xfId="28790"/>
    <cellStyle name="Procentowy 3 3 68" xfId="28791"/>
    <cellStyle name="Procentowy 3 3 69" xfId="28792"/>
    <cellStyle name="Procentowy 3 3 7" xfId="28793"/>
    <cellStyle name="Procentowy 3 3 7 2" xfId="28794"/>
    <cellStyle name="Procentowy 3 3 70" xfId="28795"/>
    <cellStyle name="Procentowy 3 3 71" xfId="28796"/>
    <cellStyle name="Procentowy 3 3 72" xfId="28797"/>
    <cellStyle name="Procentowy 3 3 73" xfId="28798"/>
    <cellStyle name="Procentowy 3 3 74" xfId="28799"/>
    <cellStyle name="Procentowy 3 3 75" xfId="28800"/>
    <cellStyle name="Procentowy 3 3 8" xfId="28801"/>
    <cellStyle name="Procentowy 3 3 8 2" xfId="28802"/>
    <cellStyle name="Procentowy 3 3 9" xfId="28803"/>
    <cellStyle name="Procentowy 3 3 9 2" xfId="28804"/>
    <cellStyle name="Procentowy 3 30" xfId="28805"/>
    <cellStyle name="Procentowy 3 30 2" xfId="28806"/>
    <cellStyle name="Procentowy 3 31" xfId="28807"/>
    <cellStyle name="Procentowy 3 31 2" xfId="28808"/>
    <cellStyle name="Procentowy 3 32" xfId="28809"/>
    <cellStyle name="Procentowy 3 32 2" xfId="28810"/>
    <cellStyle name="Procentowy 3 33" xfId="28811"/>
    <cellStyle name="Procentowy 3 33 2" xfId="28812"/>
    <cellStyle name="Procentowy 3 34" xfId="28813"/>
    <cellStyle name="Procentowy 3 34 2" xfId="28814"/>
    <cellStyle name="Procentowy 3 35" xfId="28815"/>
    <cellStyle name="Procentowy 3 35 2" xfId="28816"/>
    <cellStyle name="Procentowy 3 36" xfId="28817"/>
    <cellStyle name="Procentowy 3 36 2" xfId="28818"/>
    <cellStyle name="Procentowy 3 37" xfId="28819"/>
    <cellStyle name="Procentowy 3 37 2" xfId="28820"/>
    <cellStyle name="Procentowy 3 38" xfId="28821"/>
    <cellStyle name="Procentowy 3 38 2" xfId="28822"/>
    <cellStyle name="Procentowy 3 39" xfId="28823"/>
    <cellStyle name="Procentowy 3 39 2" xfId="28824"/>
    <cellStyle name="Procentowy 3 4" xfId="28825"/>
    <cellStyle name="Procentowy 3 4 10" xfId="28826"/>
    <cellStyle name="Procentowy 3 4 10 2" xfId="28827"/>
    <cellStyle name="Procentowy 3 4 11" xfId="28828"/>
    <cellStyle name="Procentowy 3 4 11 2" xfId="28829"/>
    <cellStyle name="Procentowy 3 4 12" xfId="28830"/>
    <cellStyle name="Procentowy 3 4 12 2" xfId="28831"/>
    <cellStyle name="Procentowy 3 4 13" xfId="28832"/>
    <cellStyle name="Procentowy 3 4 13 2" xfId="28833"/>
    <cellStyle name="Procentowy 3 4 14" xfId="28834"/>
    <cellStyle name="Procentowy 3 4 14 2" xfId="28835"/>
    <cellStyle name="Procentowy 3 4 15" xfId="28836"/>
    <cellStyle name="Procentowy 3 4 15 2" xfId="28837"/>
    <cellStyle name="Procentowy 3 4 16" xfId="28838"/>
    <cellStyle name="Procentowy 3 4 16 2" xfId="28839"/>
    <cellStyle name="Procentowy 3 4 17" xfId="28840"/>
    <cellStyle name="Procentowy 3 4 17 2" xfId="28841"/>
    <cellStyle name="Procentowy 3 4 18" xfId="28842"/>
    <cellStyle name="Procentowy 3 4 18 2" xfId="28843"/>
    <cellStyle name="Procentowy 3 4 19" xfId="28844"/>
    <cellStyle name="Procentowy 3 4 19 2" xfId="28845"/>
    <cellStyle name="Procentowy 3 4 2" xfId="28846"/>
    <cellStyle name="Procentowy 3 4 2 2" xfId="28847"/>
    <cellStyle name="Procentowy 3 4 2 3" xfId="28848"/>
    <cellStyle name="Procentowy 3 4 2 4" xfId="28849"/>
    <cellStyle name="Procentowy 3 4 2 5" xfId="28850"/>
    <cellStyle name="Procentowy 3 4 2 6" xfId="28851"/>
    <cellStyle name="Procentowy 3 4 2 7" xfId="28852"/>
    <cellStyle name="Procentowy 3 4 20" xfId="28853"/>
    <cellStyle name="Procentowy 3 4 20 2" xfId="28854"/>
    <cellStyle name="Procentowy 3 4 21" xfId="28855"/>
    <cellStyle name="Procentowy 3 4 21 2" xfId="28856"/>
    <cellStyle name="Procentowy 3 4 22" xfId="28857"/>
    <cellStyle name="Procentowy 3 4 22 2" xfId="28858"/>
    <cellStyle name="Procentowy 3 4 23" xfId="28859"/>
    <cellStyle name="Procentowy 3 4 23 2" xfId="28860"/>
    <cellStyle name="Procentowy 3 4 24" xfId="28861"/>
    <cellStyle name="Procentowy 3 4 24 2" xfId="28862"/>
    <cellStyle name="Procentowy 3 4 25" xfId="28863"/>
    <cellStyle name="Procentowy 3 4 25 2" xfId="28864"/>
    <cellStyle name="Procentowy 3 4 26" xfId="28865"/>
    <cellStyle name="Procentowy 3 4 26 2" xfId="28866"/>
    <cellStyle name="Procentowy 3 4 27" xfId="28867"/>
    <cellStyle name="Procentowy 3 4 27 2" xfId="28868"/>
    <cellStyle name="Procentowy 3 4 28" xfId="28869"/>
    <cellStyle name="Procentowy 3 4 28 2" xfId="28870"/>
    <cellStyle name="Procentowy 3 4 29" xfId="28871"/>
    <cellStyle name="Procentowy 3 4 29 2" xfId="28872"/>
    <cellStyle name="Procentowy 3 4 3" xfId="28873"/>
    <cellStyle name="Procentowy 3 4 3 2" xfId="28874"/>
    <cellStyle name="Procentowy 3 4 3 3" xfId="28875"/>
    <cellStyle name="Procentowy 3 4 3 4" xfId="28876"/>
    <cellStyle name="Procentowy 3 4 3 5" xfId="28877"/>
    <cellStyle name="Procentowy 3 4 3 6" xfId="28878"/>
    <cellStyle name="Procentowy 3 4 3 7" xfId="28879"/>
    <cellStyle name="Procentowy 3 4 30" xfId="28880"/>
    <cellStyle name="Procentowy 3 4 30 2" xfId="28881"/>
    <cellStyle name="Procentowy 3 4 31" xfId="28882"/>
    <cellStyle name="Procentowy 3 4 31 2" xfId="28883"/>
    <cellStyle name="Procentowy 3 4 32" xfId="28884"/>
    <cellStyle name="Procentowy 3 4 33" xfId="28885"/>
    <cellStyle name="Procentowy 3 4 34" xfId="28886"/>
    <cellStyle name="Procentowy 3 4 35" xfId="28887"/>
    <cellStyle name="Procentowy 3 4 36" xfId="28888"/>
    <cellStyle name="Procentowy 3 4 37" xfId="28889"/>
    <cellStyle name="Procentowy 3 4 38" xfId="28890"/>
    <cellStyle name="Procentowy 3 4 39" xfId="28891"/>
    <cellStyle name="Procentowy 3 4 4" xfId="28892"/>
    <cellStyle name="Procentowy 3 4 4 2" xfId="28893"/>
    <cellStyle name="Procentowy 3 4 4 3" xfId="28894"/>
    <cellStyle name="Procentowy 3 4 4 4" xfId="28895"/>
    <cellStyle name="Procentowy 3 4 4 5" xfId="28896"/>
    <cellStyle name="Procentowy 3 4 4 6" xfId="28897"/>
    <cellStyle name="Procentowy 3 4 4 7" xfId="28898"/>
    <cellStyle name="Procentowy 3 4 40" xfId="28899"/>
    <cellStyle name="Procentowy 3 4 41" xfId="28900"/>
    <cellStyle name="Procentowy 3 4 42" xfId="28901"/>
    <cellStyle name="Procentowy 3 4 43" xfId="28902"/>
    <cellStyle name="Procentowy 3 4 44" xfId="28903"/>
    <cellStyle name="Procentowy 3 4 45" xfId="28904"/>
    <cellStyle name="Procentowy 3 4 46" xfId="28905"/>
    <cellStyle name="Procentowy 3 4 47" xfId="28906"/>
    <cellStyle name="Procentowy 3 4 48" xfId="28907"/>
    <cellStyle name="Procentowy 3 4 49" xfId="28908"/>
    <cellStyle name="Procentowy 3 4 5" xfId="28909"/>
    <cellStyle name="Procentowy 3 4 5 2" xfId="28910"/>
    <cellStyle name="Procentowy 3 4 5 3" xfId="28911"/>
    <cellStyle name="Procentowy 3 4 5 4" xfId="28912"/>
    <cellStyle name="Procentowy 3 4 5 5" xfId="28913"/>
    <cellStyle name="Procentowy 3 4 5 6" xfId="28914"/>
    <cellStyle name="Procentowy 3 4 5 7" xfId="28915"/>
    <cellStyle name="Procentowy 3 4 50" xfId="28916"/>
    <cellStyle name="Procentowy 3 4 51" xfId="28917"/>
    <cellStyle name="Procentowy 3 4 52" xfId="28918"/>
    <cellStyle name="Procentowy 3 4 53" xfId="28919"/>
    <cellStyle name="Procentowy 3 4 54" xfId="28920"/>
    <cellStyle name="Procentowy 3 4 55" xfId="28921"/>
    <cellStyle name="Procentowy 3 4 56" xfId="28922"/>
    <cellStyle name="Procentowy 3 4 57" xfId="28923"/>
    <cellStyle name="Procentowy 3 4 58" xfId="28924"/>
    <cellStyle name="Procentowy 3 4 59" xfId="28925"/>
    <cellStyle name="Procentowy 3 4 6" xfId="28926"/>
    <cellStyle name="Procentowy 3 4 6 2" xfId="28927"/>
    <cellStyle name="Procentowy 3 4 60" xfId="28928"/>
    <cellStyle name="Procentowy 3 4 61" xfId="28929"/>
    <cellStyle name="Procentowy 3 4 62" xfId="28930"/>
    <cellStyle name="Procentowy 3 4 63" xfId="28931"/>
    <cellStyle name="Procentowy 3 4 64" xfId="28932"/>
    <cellStyle name="Procentowy 3 4 65" xfId="28933"/>
    <cellStyle name="Procentowy 3 4 66" xfId="28934"/>
    <cellStyle name="Procentowy 3 4 67" xfId="28935"/>
    <cellStyle name="Procentowy 3 4 68" xfId="28936"/>
    <cellStyle name="Procentowy 3 4 69" xfId="28937"/>
    <cellStyle name="Procentowy 3 4 7" xfId="28938"/>
    <cellStyle name="Procentowy 3 4 7 2" xfId="28939"/>
    <cellStyle name="Procentowy 3 4 70" xfId="28940"/>
    <cellStyle name="Procentowy 3 4 71" xfId="28941"/>
    <cellStyle name="Procentowy 3 4 72" xfId="28942"/>
    <cellStyle name="Procentowy 3 4 73" xfId="28943"/>
    <cellStyle name="Procentowy 3 4 74" xfId="28944"/>
    <cellStyle name="Procentowy 3 4 75" xfId="28945"/>
    <cellStyle name="Procentowy 3 4 76" xfId="28946"/>
    <cellStyle name="Procentowy 3 4 8" xfId="28947"/>
    <cellStyle name="Procentowy 3 4 8 2" xfId="28948"/>
    <cellStyle name="Procentowy 3 4 9" xfId="28949"/>
    <cellStyle name="Procentowy 3 4 9 2" xfId="28950"/>
    <cellStyle name="Procentowy 3 40" xfId="28951"/>
    <cellStyle name="Procentowy 3 40 2" xfId="28952"/>
    <cellStyle name="Procentowy 3 41" xfId="28953"/>
    <cellStyle name="Procentowy 3 41 2" xfId="28954"/>
    <cellStyle name="Procentowy 3 42" xfId="28955"/>
    <cellStyle name="Procentowy 3 42 2" xfId="28956"/>
    <cellStyle name="Procentowy 3 43" xfId="28957"/>
    <cellStyle name="Procentowy 3 43 2" xfId="28958"/>
    <cellStyle name="Procentowy 3 44" xfId="28959"/>
    <cellStyle name="Procentowy 3 44 2" xfId="28960"/>
    <cellStyle name="Procentowy 3 45" xfId="28961"/>
    <cellStyle name="Procentowy 3 45 2" xfId="28962"/>
    <cellStyle name="Procentowy 3 46" xfId="28963"/>
    <cellStyle name="Procentowy 3 46 2" xfId="28964"/>
    <cellStyle name="Procentowy 3 47" xfId="28965"/>
    <cellStyle name="Procentowy 3 47 2" xfId="28966"/>
    <cellStyle name="Procentowy 3 48" xfId="28967"/>
    <cellStyle name="Procentowy 3 48 2" xfId="28968"/>
    <cellStyle name="Procentowy 3 49" xfId="28969"/>
    <cellStyle name="Procentowy 3 49 2" xfId="28970"/>
    <cellStyle name="Procentowy 3 5" xfId="28971"/>
    <cellStyle name="Procentowy 3 5 10" xfId="28972"/>
    <cellStyle name="Procentowy 3 5 10 2" xfId="28973"/>
    <cellStyle name="Procentowy 3 5 11" xfId="28974"/>
    <cellStyle name="Procentowy 3 5 11 2" xfId="28975"/>
    <cellStyle name="Procentowy 3 5 12" xfId="28976"/>
    <cellStyle name="Procentowy 3 5 12 2" xfId="28977"/>
    <cellStyle name="Procentowy 3 5 13" xfId="28978"/>
    <cellStyle name="Procentowy 3 5 13 2" xfId="28979"/>
    <cellStyle name="Procentowy 3 5 14" xfId="28980"/>
    <cellStyle name="Procentowy 3 5 14 2" xfId="28981"/>
    <cellStyle name="Procentowy 3 5 15" xfId="28982"/>
    <cellStyle name="Procentowy 3 5 15 2" xfId="28983"/>
    <cellStyle name="Procentowy 3 5 16" xfId="28984"/>
    <cellStyle name="Procentowy 3 5 16 2" xfId="28985"/>
    <cellStyle name="Procentowy 3 5 17" xfId="28986"/>
    <cellStyle name="Procentowy 3 5 17 2" xfId="28987"/>
    <cellStyle name="Procentowy 3 5 18" xfId="28988"/>
    <cellStyle name="Procentowy 3 5 18 2" xfId="28989"/>
    <cellStyle name="Procentowy 3 5 19" xfId="28990"/>
    <cellStyle name="Procentowy 3 5 19 2" xfId="28991"/>
    <cellStyle name="Procentowy 3 5 2" xfId="28992"/>
    <cellStyle name="Procentowy 3 5 2 2" xfId="28993"/>
    <cellStyle name="Procentowy 3 5 2 3" xfId="28994"/>
    <cellStyle name="Procentowy 3 5 2 4" xfId="28995"/>
    <cellStyle name="Procentowy 3 5 2 5" xfId="28996"/>
    <cellStyle name="Procentowy 3 5 2 6" xfId="28997"/>
    <cellStyle name="Procentowy 3 5 2 7" xfId="28998"/>
    <cellStyle name="Procentowy 3 5 20" xfId="28999"/>
    <cellStyle name="Procentowy 3 5 20 2" xfId="29000"/>
    <cellStyle name="Procentowy 3 5 21" xfId="29001"/>
    <cellStyle name="Procentowy 3 5 21 2" xfId="29002"/>
    <cellStyle name="Procentowy 3 5 22" xfId="29003"/>
    <cellStyle name="Procentowy 3 5 22 2" xfId="29004"/>
    <cellStyle name="Procentowy 3 5 23" xfId="29005"/>
    <cellStyle name="Procentowy 3 5 23 2" xfId="29006"/>
    <cellStyle name="Procentowy 3 5 24" xfId="29007"/>
    <cellStyle name="Procentowy 3 5 24 2" xfId="29008"/>
    <cellStyle name="Procentowy 3 5 25" xfId="29009"/>
    <cellStyle name="Procentowy 3 5 25 2" xfId="29010"/>
    <cellStyle name="Procentowy 3 5 26" xfId="29011"/>
    <cellStyle name="Procentowy 3 5 26 2" xfId="29012"/>
    <cellStyle name="Procentowy 3 5 27" xfId="29013"/>
    <cellStyle name="Procentowy 3 5 27 2" xfId="29014"/>
    <cellStyle name="Procentowy 3 5 28" xfId="29015"/>
    <cellStyle name="Procentowy 3 5 28 2" xfId="29016"/>
    <cellStyle name="Procentowy 3 5 29" xfId="29017"/>
    <cellStyle name="Procentowy 3 5 29 2" xfId="29018"/>
    <cellStyle name="Procentowy 3 5 3" xfId="29019"/>
    <cellStyle name="Procentowy 3 5 3 2" xfId="29020"/>
    <cellStyle name="Procentowy 3 5 3 3" xfId="29021"/>
    <cellStyle name="Procentowy 3 5 3 4" xfId="29022"/>
    <cellStyle name="Procentowy 3 5 3 5" xfId="29023"/>
    <cellStyle name="Procentowy 3 5 3 6" xfId="29024"/>
    <cellStyle name="Procentowy 3 5 3 7" xfId="29025"/>
    <cellStyle name="Procentowy 3 5 30" xfId="29026"/>
    <cellStyle name="Procentowy 3 5 30 2" xfId="29027"/>
    <cellStyle name="Procentowy 3 5 31" xfId="29028"/>
    <cellStyle name="Procentowy 3 5 31 2" xfId="29029"/>
    <cellStyle name="Procentowy 3 5 32" xfId="29030"/>
    <cellStyle name="Procentowy 3 5 33" xfId="29031"/>
    <cellStyle name="Procentowy 3 5 34" xfId="29032"/>
    <cellStyle name="Procentowy 3 5 35" xfId="29033"/>
    <cellStyle name="Procentowy 3 5 36" xfId="29034"/>
    <cellStyle name="Procentowy 3 5 37" xfId="29035"/>
    <cellStyle name="Procentowy 3 5 38" xfId="29036"/>
    <cellStyle name="Procentowy 3 5 39" xfId="29037"/>
    <cellStyle name="Procentowy 3 5 4" xfId="29038"/>
    <cellStyle name="Procentowy 3 5 4 2" xfId="29039"/>
    <cellStyle name="Procentowy 3 5 4 3" xfId="29040"/>
    <cellStyle name="Procentowy 3 5 4 4" xfId="29041"/>
    <cellStyle name="Procentowy 3 5 4 5" xfId="29042"/>
    <cellStyle name="Procentowy 3 5 4 6" xfId="29043"/>
    <cellStyle name="Procentowy 3 5 4 7" xfId="29044"/>
    <cellStyle name="Procentowy 3 5 40" xfId="29045"/>
    <cellStyle name="Procentowy 3 5 41" xfId="29046"/>
    <cellStyle name="Procentowy 3 5 42" xfId="29047"/>
    <cellStyle name="Procentowy 3 5 43" xfId="29048"/>
    <cellStyle name="Procentowy 3 5 44" xfId="29049"/>
    <cellStyle name="Procentowy 3 5 45" xfId="29050"/>
    <cellStyle name="Procentowy 3 5 46" xfId="29051"/>
    <cellStyle name="Procentowy 3 5 47" xfId="29052"/>
    <cellStyle name="Procentowy 3 5 48" xfId="29053"/>
    <cellStyle name="Procentowy 3 5 49" xfId="29054"/>
    <cellStyle name="Procentowy 3 5 5" xfId="29055"/>
    <cellStyle name="Procentowy 3 5 5 2" xfId="29056"/>
    <cellStyle name="Procentowy 3 5 5 3" xfId="29057"/>
    <cellStyle name="Procentowy 3 5 5 4" xfId="29058"/>
    <cellStyle name="Procentowy 3 5 5 5" xfId="29059"/>
    <cellStyle name="Procentowy 3 5 5 6" xfId="29060"/>
    <cellStyle name="Procentowy 3 5 5 7" xfId="29061"/>
    <cellStyle name="Procentowy 3 5 50" xfId="29062"/>
    <cellStyle name="Procentowy 3 5 51" xfId="29063"/>
    <cellStyle name="Procentowy 3 5 52" xfId="29064"/>
    <cellStyle name="Procentowy 3 5 53" xfId="29065"/>
    <cellStyle name="Procentowy 3 5 54" xfId="29066"/>
    <cellStyle name="Procentowy 3 5 55" xfId="29067"/>
    <cellStyle name="Procentowy 3 5 56" xfId="29068"/>
    <cellStyle name="Procentowy 3 5 57" xfId="29069"/>
    <cellStyle name="Procentowy 3 5 58" xfId="29070"/>
    <cellStyle name="Procentowy 3 5 59" xfId="29071"/>
    <cellStyle name="Procentowy 3 5 6" xfId="29072"/>
    <cellStyle name="Procentowy 3 5 6 2" xfId="29073"/>
    <cellStyle name="Procentowy 3 5 60" xfId="29074"/>
    <cellStyle name="Procentowy 3 5 61" xfId="29075"/>
    <cellStyle name="Procentowy 3 5 62" xfId="29076"/>
    <cellStyle name="Procentowy 3 5 63" xfId="29077"/>
    <cellStyle name="Procentowy 3 5 64" xfId="29078"/>
    <cellStyle name="Procentowy 3 5 65" xfId="29079"/>
    <cellStyle name="Procentowy 3 5 66" xfId="29080"/>
    <cellStyle name="Procentowy 3 5 67" xfId="29081"/>
    <cellStyle name="Procentowy 3 5 68" xfId="29082"/>
    <cellStyle name="Procentowy 3 5 69" xfId="29083"/>
    <cellStyle name="Procentowy 3 5 7" xfId="29084"/>
    <cellStyle name="Procentowy 3 5 7 2" xfId="29085"/>
    <cellStyle name="Procentowy 3 5 70" xfId="29086"/>
    <cellStyle name="Procentowy 3 5 71" xfId="29087"/>
    <cellStyle name="Procentowy 3 5 72" xfId="29088"/>
    <cellStyle name="Procentowy 3 5 73" xfId="29089"/>
    <cellStyle name="Procentowy 3 5 74" xfId="29090"/>
    <cellStyle name="Procentowy 3 5 8" xfId="29091"/>
    <cellStyle name="Procentowy 3 5 8 2" xfId="29092"/>
    <cellStyle name="Procentowy 3 5 9" xfId="29093"/>
    <cellStyle name="Procentowy 3 5 9 2" xfId="29094"/>
    <cellStyle name="Procentowy 3 50" xfId="29095"/>
    <cellStyle name="Procentowy 3 50 2" xfId="29096"/>
    <cellStyle name="Procentowy 3 51" xfId="29097"/>
    <cellStyle name="Procentowy 3 51 2" xfId="29098"/>
    <cellStyle name="Procentowy 3 52" xfId="29099"/>
    <cellStyle name="Procentowy 3 52 2" xfId="29100"/>
    <cellStyle name="Procentowy 3 53" xfId="29101"/>
    <cellStyle name="Procentowy 3 53 2" xfId="29102"/>
    <cellStyle name="Procentowy 3 54" xfId="29103"/>
    <cellStyle name="Procentowy 3 54 2" xfId="29104"/>
    <cellStyle name="Procentowy 3 55" xfId="29105"/>
    <cellStyle name="Procentowy 3 55 2" xfId="29106"/>
    <cellStyle name="Procentowy 3 56" xfId="29107"/>
    <cellStyle name="Procentowy 3 56 2" xfId="29108"/>
    <cellStyle name="Procentowy 3 57" xfId="29109"/>
    <cellStyle name="Procentowy 3 57 2" xfId="29110"/>
    <cellStyle name="Procentowy 3 58" xfId="29111"/>
    <cellStyle name="Procentowy 3 58 2" xfId="29112"/>
    <cellStyle name="Procentowy 3 59" xfId="29113"/>
    <cellStyle name="Procentowy 3 59 2" xfId="29114"/>
    <cellStyle name="Procentowy 3 6" xfId="29115"/>
    <cellStyle name="Procentowy 3 6 10" xfId="29116"/>
    <cellStyle name="Procentowy 3 6 10 2" xfId="29117"/>
    <cellStyle name="Procentowy 3 6 11" xfId="29118"/>
    <cellStyle name="Procentowy 3 6 11 2" xfId="29119"/>
    <cellStyle name="Procentowy 3 6 12" xfId="29120"/>
    <cellStyle name="Procentowy 3 6 12 2" xfId="29121"/>
    <cellStyle name="Procentowy 3 6 13" xfId="29122"/>
    <cellStyle name="Procentowy 3 6 13 2" xfId="29123"/>
    <cellStyle name="Procentowy 3 6 14" xfId="29124"/>
    <cellStyle name="Procentowy 3 6 14 2" xfId="29125"/>
    <cellStyle name="Procentowy 3 6 15" xfId="29126"/>
    <cellStyle name="Procentowy 3 6 15 2" xfId="29127"/>
    <cellStyle name="Procentowy 3 6 16" xfId="29128"/>
    <cellStyle name="Procentowy 3 6 16 2" xfId="29129"/>
    <cellStyle name="Procentowy 3 6 17" xfId="29130"/>
    <cellStyle name="Procentowy 3 6 17 2" xfId="29131"/>
    <cellStyle name="Procentowy 3 6 18" xfId="29132"/>
    <cellStyle name="Procentowy 3 6 18 2" xfId="29133"/>
    <cellStyle name="Procentowy 3 6 19" xfId="29134"/>
    <cellStyle name="Procentowy 3 6 19 2" xfId="29135"/>
    <cellStyle name="Procentowy 3 6 2" xfId="29136"/>
    <cellStyle name="Procentowy 3 6 2 2" xfId="29137"/>
    <cellStyle name="Procentowy 3 6 2 3" xfId="29138"/>
    <cellStyle name="Procentowy 3 6 2 4" xfId="29139"/>
    <cellStyle name="Procentowy 3 6 2 5" xfId="29140"/>
    <cellStyle name="Procentowy 3 6 2 6" xfId="29141"/>
    <cellStyle name="Procentowy 3 6 2 7" xfId="29142"/>
    <cellStyle name="Procentowy 3 6 20" xfId="29143"/>
    <cellStyle name="Procentowy 3 6 20 2" xfId="29144"/>
    <cellStyle name="Procentowy 3 6 21" xfId="29145"/>
    <cellStyle name="Procentowy 3 6 21 2" xfId="29146"/>
    <cellStyle name="Procentowy 3 6 22" xfId="29147"/>
    <cellStyle name="Procentowy 3 6 22 2" xfId="29148"/>
    <cellStyle name="Procentowy 3 6 23" xfId="29149"/>
    <cellStyle name="Procentowy 3 6 23 2" xfId="29150"/>
    <cellStyle name="Procentowy 3 6 24" xfId="29151"/>
    <cellStyle name="Procentowy 3 6 24 2" xfId="29152"/>
    <cellStyle name="Procentowy 3 6 25" xfId="29153"/>
    <cellStyle name="Procentowy 3 6 25 2" xfId="29154"/>
    <cellStyle name="Procentowy 3 6 26" xfId="29155"/>
    <cellStyle name="Procentowy 3 6 26 2" xfId="29156"/>
    <cellStyle name="Procentowy 3 6 27" xfId="29157"/>
    <cellStyle name="Procentowy 3 6 27 2" xfId="29158"/>
    <cellStyle name="Procentowy 3 6 28" xfId="29159"/>
    <cellStyle name="Procentowy 3 6 28 2" xfId="29160"/>
    <cellStyle name="Procentowy 3 6 29" xfId="29161"/>
    <cellStyle name="Procentowy 3 6 29 2" xfId="29162"/>
    <cellStyle name="Procentowy 3 6 3" xfId="29163"/>
    <cellStyle name="Procentowy 3 6 3 2" xfId="29164"/>
    <cellStyle name="Procentowy 3 6 3 3" xfId="29165"/>
    <cellStyle name="Procentowy 3 6 3 4" xfId="29166"/>
    <cellStyle name="Procentowy 3 6 3 5" xfId="29167"/>
    <cellStyle name="Procentowy 3 6 3 6" xfId="29168"/>
    <cellStyle name="Procentowy 3 6 3 7" xfId="29169"/>
    <cellStyle name="Procentowy 3 6 30" xfId="29170"/>
    <cellStyle name="Procentowy 3 6 30 2" xfId="29171"/>
    <cellStyle name="Procentowy 3 6 31" xfId="29172"/>
    <cellStyle name="Procentowy 3 6 31 2" xfId="29173"/>
    <cellStyle name="Procentowy 3 6 32" xfId="29174"/>
    <cellStyle name="Procentowy 3 6 33" xfId="29175"/>
    <cellStyle name="Procentowy 3 6 34" xfId="29176"/>
    <cellStyle name="Procentowy 3 6 35" xfId="29177"/>
    <cellStyle name="Procentowy 3 6 36" xfId="29178"/>
    <cellStyle name="Procentowy 3 6 37" xfId="29179"/>
    <cellStyle name="Procentowy 3 6 38" xfId="29180"/>
    <cellStyle name="Procentowy 3 6 39" xfId="29181"/>
    <cellStyle name="Procentowy 3 6 4" xfId="29182"/>
    <cellStyle name="Procentowy 3 6 4 2" xfId="29183"/>
    <cellStyle name="Procentowy 3 6 4 3" xfId="29184"/>
    <cellStyle name="Procentowy 3 6 4 4" xfId="29185"/>
    <cellStyle name="Procentowy 3 6 4 5" xfId="29186"/>
    <cellStyle name="Procentowy 3 6 4 6" xfId="29187"/>
    <cellStyle name="Procentowy 3 6 4 7" xfId="29188"/>
    <cellStyle name="Procentowy 3 6 40" xfId="29189"/>
    <cellStyle name="Procentowy 3 6 41" xfId="29190"/>
    <cellStyle name="Procentowy 3 6 42" xfId="29191"/>
    <cellStyle name="Procentowy 3 6 43" xfId="29192"/>
    <cellStyle name="Procentowy 3 6 44" xfId="29193"/>
    <cellStyle name="Procentowy 3 6 45" xfId="29194"/>
    <cellStyle name="Procentowy 3 6 46" xfId="29195"/>
    <cellStyle name="Procentowy 3 6 47" xfId="29196"/>
    <cellStyle name="Procentowy 3 6 48" xfId="29197"/>
    <cellStyle name="Procentowy 3 6 49" xfId="29198"/>
    <cellStyle name="Procentowy 3 6 5" xfId="29199"/>
    <cellStyle name="Procentowy 3 6 5 2" xfId="29200"/>
    <cellStyle name="Procentowy 3 6 5 3" xfId="29201"/>
    <cellStyle name="Procentowy 3 6 5 4" xfId="29202"/>
    <cellStyle name="Procentowy 3 6 5 5" xfId="29203"/>
    <cellStyle name="Procentowy 3 6 5 6" xfId="29204"/>
    <cellStyle name="Procentowy 3 6 5 7" xfId="29205"/>
    <cellStyle name="Procentowy 3 6 50" xfId="29206"/>
    <cellStyle name="Procentowy 3 6 51" xfId="29207"/>
    <cellStyle name="Procentowy 3 6 52" xfId="29208"/>
    <cellStyle name="Procentowy 3 6 53" xfId="29209"/>
    <cellStyle name="Procentowy 3 6 54" xfId="29210"/>
    <cellStyle name="Procentowy 3 6 55" xfId="29211"/>
    <cellStyle name="Procentowy 3 6 56" xfId="29212"/>
    <cellStyle name="Procentowy 3 6 57" xfId="29213"/>
    <cellStyle name="Procentowy 3 6 58" xfId="29214"/>
    <cellStyle name="Procentowy 3 6 59" xfId="29215"/>
    <cellStyle name="Procentowy 3 6 6" xfId="29216"/>
    <cellStyle name="Procentowy 3 6 6 2" xfId="29217"/>
    <cellStyle name="Procentowy 3 6 60" xfId="29218"/>
    <cellStyle name="Procentowy 3 6 61" xfId="29219"/>
    <cellStyle name="Procentowy 3 6 62" xfId="29220"/>
    <cellStyle name="Procentowy 3 6 63" xfId="29221"/>
    <cellStyle name="Procentowy 3 6 64" xfId="29222"/>
    <cellStyle name="Procentowy 3 6 65" xfId="29223"/>
    <cellStyle name="Procentowy 3 6 66" xfId="29224"/>
    <cellStyle name="Procentowy 3 6 67" xfId="29225"/>
    <cellStyle name="Procentowy 3 6 68" xfId="29226"/>
    <cellStyle name="Procentowy 3 6 69" xfId="29227"/>
    <cellStyle name="Procentowy 3 6 7" xfId="29228"/>
    <cellStyle name="Procentowy 3 6 7 2" xfId="29229"/>
    <cellStyle name="Procentowy 3 6 70" xfId="29230"/>
    <cellStyle name="Procentowy 3 6 71" xfId="29231"/>
    <cellStyle name="Procentowy 3 6 72" xfId="29232"/>
    <cellStyle name="Procentowy 3 6 73" xfId="29233"/>
    <cellStyle name="Procentowy 3 6 74" xfId="29234"/>
    <cellStyle name="Procentowy 3 6 8" xfId="29235"/>
    <cellStyle name="Procentowy 3 6 8 2" xfId="29236"/>
    <cellStyle name="Procentowy 3 6 9" xfId="29237"/>
    <cellStyle name="Procentowy 3 6 9 2" xfId="29238"/>
    <cellStyle name="Procentowy 3 60" xfId="29239"/>
    <cellStyle name="Procentowy 3 60 2" xfId="29240"/>
    <cellStyle name="Procentowy 3 61" xfId="29241"/>
    <cellStyle name="Procentowy 3 61 2" xfId="29242"/>
    <cellStyle name="Procentowy 3 62" xfId="29243"/>
    <cellStyle name="Procentowy 3 62 2" xfId="29244"/>
    <cellStyle name="Procentowy 3 63" xfId="29245"/>
    <cellStyle name="Procentowy 3 63 2" xfId="29246"/>
    <cellStyle name="Procentowy 3 64" xfId="29247"/>
    <cellStyle name="Procentowy 3 64 2" xfId="29248"/>
    <cellStyle name="Procentowy 3 65" xfId="29249"/>
    <cellStyle name="Procentowy 3 65 2" xfId="29250"/>
    <cellStyle name="Procentowy 3 66" xfId="29251"/>
    <cellStyle name="Procentowy 3 66 2" xfId="29252"/>
    <cellStyle name="Procentowy 3 67" xfId="29253"/>
    <cellStyle name="Procentowy 3 67 2" xfId="29254"/>
    <cellStyle name="Procentowy 3 68" xfId="29255"/>
    <cellStyle name="Procentowy 3 68 2" xfId="29256"/>
    <cellStyle name="Procentowy 3 69" xfId="29257"/>
    <cellStyle name="Procentowy 3 69 2" xfId="29258"/>
    <cellStyle name="Procentowy 3 7" xfId="29259"/>
    <cellStyle name="Procentowy 3 7 10" xfId="29260"/>
    <cellStyle name="Procentowy 3 7 10 2" xfId="29261"/>
    <cellStyle name="Procentowy 3 7 11" xfId="29262"/>
    <cellStyle name="Procentowy 3 7 11 2" xfId="29263"/>
    <cellStyle name="Procentowy 3 7 12" xfId="29264"/>
    <cellStyle name="Procentowy 3 7 12 2" xfId="29265"/>
    <cellStyle name="Procentowy 3 7 13" xfId="29266"/>
    <cellStyle name="Procentowy 3 7 13 2" xfId="29267"/>
    <cellStyle name="Procentowy 3 7 14" xfId="29268"/>
    <cellStyle name="Procentowy 3 7 14 2" xfId="29269"/>
    <cellStyle name="Procentowy 3 7 15" xfId="29270"/>
    <cellStyle name="Procentowy 3 7 15 2" xfId="29271"/>
    <cellStyle name="Procentowy 3 7 16" xfId="29272"/>
    <cellStyle name="Procentowy 3 7 16 2" xfId="29273"/>
    <cellStyle name="Procentowy 3 7 17" xfId="29274"/>
    <cellStyle name="Procentowy 3 7 17 2" xfId="29275"/>
    <cellStyle name="Procentowy 3 7 18" xfId="29276"/>
    <cellStyle name="Procentowy 3 7 18 2" xfId="29277"/>
    <cellStyle name="Procentowy 3 7 19" xfId="29278"/>
    <cellStyle name="Procentowy 3 7 19 2" xfId="29279"/>
    <cellStyle name="Procentowy 3 7 2" xfId="29280"/>
    <cellStyle name="Procentowy 3 7 2 2" xfId="29281"/>
    <cellStyle name="Procentowy 3 7 2 3" xfId="29282"/>
    <cellStyle name="Procentowy 3 7 2 4" xfId="29283"/>
    <cellStyle name="Procentowy 3 7 2 5" xfId="29284"/>
    <cellStyle name="Procentowy 3 7 2 6" xfId="29285"/>
    <cellStyle name="Procentowy 3 7 2 7" xfId="29286"/>
    <cellStyle name="Procentowy 3 7 20" xfId="29287"/>
    <cellStyle name="Procentowy 3 7 20 2" xfId="29288"/>
    <cellStyle name="Procentowy 3 7 21" xfId="29289"/>
    <cellStyle name="Procentowy 3 7 21 2" xfId="29290"/>
    <cellStyle name="Procentowy 3 7 22" xfId="29291"/>
    <cellStyle name="Procentowy 3 7 22 2" xfId="29292"/>
    <cellStyle name="Procentowy 3 7 23" xfId="29293"/>
    <cellStyle name="Procentowy 3 7 23 2" xfId="29294"/>
    <cellStyle name="Procentowy 3 7 24" xfId="29295"/>
    <cellStyle name="Procentowy 3 7 24 2" xfId="29296"/>
    <cellStyle name="Procentowy 3 7 25" xfId="29297"/>
    <cellStyle name="Procentowy 3 7 25 2" xfId="29298"/>
    <cellStyle name="Procentowy 3 7 26" xfId="29299"/>
    <cellStyle name="Procentowy 3 7 26 2" xfId="29300"/>
    <cellStyle name="Procentowy 3 7 27" xfId="29301"/>
    <cellStyle name="Procentowy 3 7 27 2" xfId="29302"/>
    <cellStyle name="Procentowy 3 7 28" xfId="29303"/>
    <cellStyle name="Procentowy 3 7 28 2" xfId="29304"/>
    <cellStyle name="Procentowy 3 7 29" xfId="29305"/>
    <cellStyle name="Procentowy 3 7 29 2" xfId="29306"/>
    <cellStyle name="Procentowy 3 7 3" xfId="29307"/>
    <cellStyle name="Procentowy 3 7 3 2" xfId="29308"/>
    <cellStyle name="Procentowy 3 7 3 3" xfId="29309"/>
    <cellStyle name="Procentowy 3 7 3 4" xfId="29310"/>
    <cellStyle name="Procentowy 3 7 3 5" xfId="29311"/>
    <cellStyle name="Procentowy 3 7 3 6" xfId="29312"/>
    <cellStyle name="Procentowy 3 7 3 7" xfId="29313"/>
    <cellStyle name="Procentowy 3 7 30" xfId="29314"/>
    <cellStyle name="Procentowy 3 7 30 2" xfId="29315"/>
    <cellStyle name="Procentowy 3 7 31" xfId="29316"/>
    <cellStyle name="Procentowy 3 7 31 2" xfId="29317"/>
    <cellStyle name="Procentowy 3 7 32" xfId="29318"/>
    <cellStyle name="Procentowy 3 7 33" xfId="29319"/>
    <cellStyle name="Procentowy 3 7 34" xfId="29320"/>
    <cellStyle name="Procentowy 3 7 35" xfId="29321"/>
    <cellStyle name="Procentowy 3 7 36" xfId="29322"/>
    <cellStyle name="Procentowy 3 7 37" xfId="29323"/>
    <cellStyle name="Procentowy 3 7 38" xfId="29324"/>
    <cellStyle name="Procentowy 3 7 39" xfId="29325"/>
    <cellStyle name="Procentowy 3 7 4" xfId="29326"/>
    <cellStyle name="Procentowy 3 7 4 2" xfId="29327"/>
    <cellStyle name="Procentowy 3 7 4 3" xfId="29328"/>
    <cellStyle name="Procentowy 3 7 4 4" xfId="29329"/>
    <cellStyle name="Procentowy 3 7 4 5" xfId="29330"/>
    <cellStyle name="Procentowy 3 7 4 6" xfId="29331"/>
    <cellStyle name="Procentowy 3 7 4 7" xfId="29332"/>
    <cellStyle name="Procentowy 3 7 40" xfId="29333"/>
    <cellStyle name="Procentowy 3 7 41" xfId="29334"/>
    <cellStyle name="Procentowy 3 7 42" xfId="29335"/>
    <cellStyle name="Procentowy 3 7 43" xfId="29336"/>
    <cellStyle name="Procentowy 3 7 44" xfId="29337"/>
    <cellStyle name="Procentowy 3 7 45" xfId="29338"/>
    <cellStyle name="Procentowy 3 7 46" xfId="29339"/>
    <cellStyle name="Procentowy 3 7 47" xfId="29340"/>
    <cellStyle name="Procentowy 3 7 48" xfId="29341"/>
    <cellStyle name="Procentowy 3 7 49" xfId="29342"/>
    <cellStyle name="Procentowy 3 7 5" xfId="29343"/>
    <cellStyle name="Procentowy 3 7 5 2" xfId="29344"/>
    <cellStyle name="Procentowy 3 7 5 3" xfId="29345"/>
    <cellStyle name="Procentowy 3 7 5 4" xfId="29346"/>
    <cellStyle name="Procentowy 3 7 5 5" xfId="29347"/>
    <cellStyle name="Procentowy 3 7 5 6" xfId="29348"/>
    <cellStyle name="Procentowy 3 7 5 7" xfId="29349"/>
    <cellStyle name="Procentowy 3 7 50" xfId="29350"/>
    <cellStyle name="Procentowy 3 7 51" xfId="29351"/>
    <cellStyle name="Procentowy 3 7 52" xfId="29352"/>
    <cellStyle name="Procentowy 3 7 53" xfId="29353"/>
    <cellStyle name="Procentowy 3 7 54" xfId="29354"/>
    <cellStyle name="Procentowy 3 7 55" xfId="29355"/>
    <cellStyle name="Procentowy 3 7 56" xfId="29356"/>
    <cellStyle name="Procentowy 3 7 57" xfId="29357"/>
    <cellStyle name="Procentowy 3 7 58" xfId="29358"/>
    <cellStyle name="Procentowy 3 7 59" xfId="29359"/>
    <cellStyle name="Procentowy 3 7 6" xfId="29360"/>
    <cellStyle name="Procentowy 3 7 6 2" xfId="29361"/>
    <cellStyle name="Procentowy 3 7 60" xfId="29362"/>
    <cellStyle name="Procentowy 3 7 61" xfId="29363"/>
    <cellStyle name="Procentowy 3 7 62" xfId="29364"/>
    <cellStyle name="Procentowy 3 7 63" xfId="29365"/>
    <cellStyle name="Procentowy 3 7 64" xfId="29366"/>
    <cellStyle name="Procentowy 3 7 65" xfId="29367"/>
    <cellStyle name="Procentowy 3 7 66" xfId="29368"/>
    <cellStyle name="Procentowy 3 7 67" xfId="29369"/>
    <cellStyle name="Procentowy 3 7 68" xfId="29370"/>
    <cellStyle name="Procentowy 3 7 69" xfId="29371"/>
    <cellStyle name="Procentowy 3 7 7" xfId="29372"/>
    <cellStyle name="Procentowy 3 7 7 2" xfId="29373"/>
    <cellStyle name="Procentowy 3 7 70" xfId="29374"/>
    <cellStyle name="Procentowy 3 7 71" xfId="29375"/>
    <cellStyle name="Procentowy 3 7 72" xfId="29376"/>
    <cellStyle name="Procentowy 3 7 73" xfId="29377"/>
    <cellStyle name="Procentowy 3 7 74" xfId="29378"/>
    <cellStyle name="Procentowy 3 7 8" xfId="29379"/>
    <cellStyle name="Procentowy 3 7 8 2" xfId="29380"/>
    <cellStyle name="Procentowy 3 7 9" xfId="29381"/>
    <cellStyle name="Procentowy 3 7 9 2" xfId="29382"/>
    <cellStyle name="Procentowy 3 70" xfId="29383"/>
    <cellStyle name="Procentowy 3 71" xfId="29384"/>
    <cellStyle name="Procentowy 3 72" xfId="29385"/>
    <cellStyle name="Procentowy 3 73" xfId="29386"/>
    <cellStyle name="Procentowy 3 74" xfId="29387"/>
    <cellStyle name="Procentowy 3 75" xfId="29388"/>
    <cellStyle name="Procentowy 3 76" xfId="29389"/>
    <cellStyle name="Procentowy 3 77" xfId="29390"/>
    <cellStyle name="Procentowy 3 78" xfId="29391"/>
    <cellStyle name="Procentowy 3 79" xfId="29392"/>
    <cellStyle name="Procentowy 3 8" xfId="29393"/>
    <cellStyle name="Procentowy 3 8 10" xfId="29394"/>
    <cellStyle name="Procentowy 3 8 10 2" xfId="29395"/>
    <cellStyle name="Procentowy 3 8 11" xfId="29396"/>
    <cellStyle name="Procentowy 3 8 11 2" xfId="29397"/>
    <cellStyle name="Procentowy 3 8 12" xfId="29398"/>
    <cellStyle name="Procentowy 3 8 12 2" xfId="29399"/>
    <cellStyle name="Procentowy 3 8 13" xfId="29400"/>
    <cellStyle name="Procentowy 3 8 13 2" xfId="29401"/>
    <cellStyle name="Procentowy 3 8 14" xfId="29402"/>
    <cellStyle name="Procentowy 3 8 14 2" xfId="29403"/>
    <cellStyle name="Procentowy 3 8 15" xfId="29404"/>
    <cellStyle name="Procentowy 3 8 15 2" xfId="29405"/>
    <cellStyle name="Procentowy 3 8 16" xfId="29406"/>
    <cellStyle name="Procentowy 3 8 16 2" xfId="29407"/>
    <cellStyle name="Procentowy 3 8 17" xfId="29408"/>
    <cellStyle name="Procentowy 3 8 17 2" xfId="29409"/>
    <cellStyle name="Procentowy 3 8 18" xfId="29410"/>
    <cellStyle name="Procentowy 3 8 18 2" xfId="29411"/>
    <cellStyle name="Procentowy 3 8 19" xfId="29412"/>
    <cellStyle name="Procentowy 3 8 19 2" xfId="29413"/>
    <cellStyle name="Procentowy 3 8 2" xfId="29414"/>
    <cellStyle name="Procentowy 3 8 2 2" xfId="29415"/>
    <cellStyle name="Procentowy 3 8 2 3" xfId="29416"/>
    <cellStyle name="Procentowy 3 8 2 4" xfId="29417"/>
    <cellStyle name="Procentowy 3 8 2 5" xfId="29418"/>
    <cellStyle name="Procentowy 3 8 2 6" xfId="29419"/>
    <cellStyle name="Procentowy 3 8 2 7" xfId="29420"/>
    <cellStyle name="Procentowy 3 8 20" xfId="29421"/>
    <cellStyle name="Procentowy 3 8 20 2" xfId="29422"/>
    <cellStyle name="Procentowy 3 8 21" xfId="29423"/>
    <cellStyle name="Procentowy 3 8 21 2" xfId="29424"/>
    <cellStyle name="Procentowy 3 8 22" xfId="29425"/>
    <cellStyle name="Procentowy 3 8 22 2" xfId="29426"/>
    <cellStyle name="Procentowy 3 8 23" xfId="29427"/>
    <cellStyle name="Procentowy 3 8 23 2" xfId="29428"/>
    <cellStyle name="Procentowy 3 8 24" xfId="29429"/>
    <cellStyle name="Procentowy 3 8 24 2" xfId="29430"/>
    <cellStyle name="Procentowy 3 8 25" xfId="29431"/>
    <cellStyle name="Procentowy 3 8 25 2" xfId="29432"/>
    <cellStyle name="Procentowy 3 8 26" xfId="29433"/>
    <cellStyle name="Procentowy 3 8 26 2" xfId="29434"/>
    <cellStyle name="Procentowy 3 8 27" xfId="29435"/>
    <cellStyle name="Procentowy 3 8 27 2" xfId="29436"/>
    <cellStyle name="Procentowy 3 8 28" xfId="29437"/>
    <cellStyle name="Procentowy 3 8 28 2" xfId="29438"/>
    <cellStyle name="Procentowy 3 8 29" xfId="29439"/>
    <cellStyle name="Procentowy 3 8 29 2" xfId="29440"/>
    <cellStyle name="Procentowy 3 8 3" xfId="29441"/>
    <cellStyle name="Procentowy 3 8 3 2" xfId="29442"/>
    <cellStyle name="Procentowy 3 8 3 3" xfId="29443"/>
    <cellStyle name="Procentowy 3 8 3 4" xfId="29444"/>
    <cellStyle name="Procentowy 3 8 3 5" xfId="29445"/>
    <cellStyle name="Procentowy 3 8 3 6" xfId="29446"/>
    <cellStyle name="Procentowy 3 8 3 7" xfId="29447"/>
    <cellStyle name="Procentowy 3 8 30" xfId="29448"/>
    <cellStyle name="Procentowy 3 8 30 2" xfId="29449"/>
    <cellStyle name="Procentowy 3 8 31" xfId="29450"/>
    <cellStyle name="Procentowy 3 8 31 2" xfId="29451"/>
    <cellStyle name="Procentowy 3 8 32" xfId="29452"/>
    <cellStyle name="Procentowy 3 8 33" xfId="29453"/>
    <cellStyle name="Procentowy 3 8 34" xfId="29454"/>
    <cellStyle name="Procentowy 3 8 35" xfId="29455"/>
    <cellStyle name="Procentowy 3 8 36" xfId="29456"/>
    <cellStyle name="Procentowy 3 8 37" xfId="29457"/>
    <cellStyle name="Procentowy 3 8 38" xfId="29458"/>
    <cellStyle name="Procentowy 3 8 39" xfId="29459"/>
    <cellStyle name="Procentowy 3 8 4" xfId="29460"/>
    <cellStyle name="Procentowy 3 8 4 2" xfId="29461"/>
    <cellStyle name="Procentowy 3 8 4 3" xfId="29462"/>
    <cellStyle name="Procentowy 3 8 4 4" xfId="29463"/>
    <cellStyle name="Procentowy 3 8 4 5" xfId="29464"/>
    <cellStyle name="Procentowy 3 8 4 6" xfId="29465"/>
    <cellStyle name="Procentowy 3 8 4 7" xfId="29466"/>
    <cellStyle name="Procentowy 3 8 40" xfId="29467"/>
    <cellStyle name="Procentowy 3 8 41" xfId="29468"/>
    <cellStyle name="Procentowy 3 8 42" xfId="29469"/>
    <cellStyle name="Procentowy 3 8 43" xfId="29470"/>
    <cellStyle name="Procentowy 3 8 44" xfId="29471"/>
    <cellStyle name="Procentowy 3 8 45" xfId="29472"/>
    <cellStyle name="Procentowy 3 8 46" xfId="29473"/>
    <cellStyle name="Procentowy 3 8 47" xfId="29474"/>
    <cellStyle name="Procentowy 3 8 48" xfId="29475"/>
    <cellStyle name="Procentowy 3 8 49" xfId="29476"/>
    <cellStyle name="Procentowy 3 8 5" xfId="29477"/>
    <cellStyle name="Procentowy 3 8 5 2" xfId="29478"/>
    <cellStyle name="Procentowy 3 8 5 3" xfId="29479"/>
    <cellStyle name="Procentowy 3 8 5 4" xfId="29480"/>
    <cellStyle name="Procentowy 3 8 5 5" xfId="29481"/>
    <cellStyle name="Procentowy 3 8 5 6" xfId="29482"/>
    <cellStyle name="Procentowy 3 8 5 7" xfId="29483"/>
    <cellStyle name="Procentowy 3 8 50" xfId="29484"/>
    <cellStyle name="Procentowy 3 8 51" xfId="29485"/>
    <cellStyle name="Procentowy 3 8 52" xfId="29486"/>
    <cellStyle name="Procentowy 3 8 53" xfId="29487"/>
    <cellStyle name="Procentowy 3 8 54" xfId="29488"/>
    <cellStyle name="Procentowy 3 8 55" xfId="29489"/>
    <cellStyle name="Procentowy 3 8 56" xfId="29490"/>
    <cellStyle name="Procentowy 3 8 57" xfId="29491"/>
    <cellStyle name="Procentowy 3 8 58" xfId="29492"/>
    <cellStyle name="Procentowy 3 8 59" xfId="29493"/>
    <cellStyle name="Procentowy 3 8 6" xfId="29494"/>
    <cellStyle name="Procentowy 3 8 6 2" xfId="29495"/>
    <cellStyle name="Procentowy 3 8 60" xfId="29496"/>
    <cellStyle name="Procentowy 3 8 61" xfId="29497"/>
    <cellStyle name="Procentowy 3 8 62" xfId="29498"/>
    <cellStyle name="Procentowy 3 8 63" xfId="29499"/>
    <cellStyle name="Procentowy 3 8 64" xfId="29500"/>
    <cellStyle name="Procentowy 3 8 65" xfId="29501"/>
    <cellStyle name="Procentowy 3 8 66" xfId="29502"/>
    <cellStyle name="Procentowy 3 8 67" xfId="29503"/>
    <cellStyle name="Procentowy 3 8 68" xfId="29504"/>
    <cellStyle name="Procentowy 3 8 69" xfId="29505"/>
    <cellStyle name="Procentowy 3 8 7" xfId="29506"/>
    <cellStyle name="Procentowy 3 8 7 2" xfId="29507"/>
    <cellStyle name="Procentowy 3 8 70" xfId="29508"/>
    <cellStyle name="Procentowy 3 8 71" xfId="29509"/>
    <cellStyle name="Procentowy 3 8 72" xfId="29510"/>
    <cellStyle name="Procentowy 3 8 73" xfId="29511"/>
    <cellStyle name="Procentowy 3 8 74" xfId="29512"/>
    <cellStyle name="Procentowy 3 8 8" xfId="29513"/>
    <cellStyle name="Procentowy 3 8 8 2" xfId="29514"/>
    <cellStyle name="Procentowy 3 8 9" xfId="29515"/>
    <cellStyle name="Procentowy 3 8 9 2" xfId="29516"/>
    <cellStyle name="Procentowy 3 80" xfId="29517"/>
    <cellStyle name="Procentowy 3 81" xfId="29518"/>
    <cellStyle name="Procentowy 3 82" xfId="29519"/>
    <cellStyle name="Procentowy 3 83" xfId="29520"/>
    <cellStyle name="Procentowy 3 84" xfId="29521"/>
    <cellStyle name="Procentowy 3 85" xfId="29522"/>
    <cellStyle name="Procentowy 3 86" xfId="29523"/>
    <cellStyle name="Procentowy 3 87" xfId="29524"/>
    <cellStyle name="Procentowy 3 88" xfId="29525"/>
    <cellStyle name="Procentowy 3 89" xfId="29526"/>
    <cellStyle name="Procentowy 3 9" xfId="29527"/>
    <cellStyle name="Procentowy 3 9 10" xfId="29528"/>
    <cellStyle name="Procentowy 3 9 10 2" xfId="29529"/>
    <cellStyle name="Procentowy 3 9 11" xfId="29530"/>
    <cellStyle name="Procentowy 3 9 11 2" xfId="29531"/>
    <cellStyle name="Procentowy 3 9 12" xfId="29532"/>
    <cellStyle name="Procentowy 3 9 12 2" xfId="29533"/>
    <cellStyle name="Procentowy 3 9 13" xfId="29534"/>
    <cellStyle name="Procentowy 3 9 13 2" xfId="29535"/>
    <cellStyle name="Procentowy 3 9 14" xfId="29536"/>
    <cellStyle name="Procentowy 3 9 14 2" xfId="29537"/>
    <cellStyle name="Procentowy 3 9 15" xfId="29538"/>
    <cellStyle name="Procentowy 3 9 15 2" xfId="29539"/>
    <cellStyle name="Procentowy 3 9 16" xfId="29540"/>
    <cellStyle name="Procentowy 3 9 16 2" xfId="29541"/>
    <cellStyle name="Procentowy 3 9 17" xfId="29542"/>
    <cellStyle name="Procentowy 3 9 17 2" xfId="29543"/>
    <cellStyle name="Procentowy 3 9 18" xfId="29544"/>
    <cellStyle name="Procentowy 3 9 18 2" xfId="29545"/>
    <cellStyle name="Procentowy 3 9 19" xfId="29546"/>
    <cellStyle name="Procentowy 3 9 19 2" xfId="29547"/>
    <cellStyle name="Procentowy 3 9 2" xfId="29548"/>
    <cellStyle name="Procentowy 3 9 2 2" xfId="29549"/>
    <cellStyle name="Procentowy 3 9 2 3" xfId="29550"/>
    <cellStyle name="Procentowy 3 9 2 4" xfId="29551"/>
    <cellStyle name="Procentowy 3 9 2 5" xfId="29552"/>
    <cellStyle name="Procentowy 3 9 2 6" xfId="29553"/>
    <cellStyle name="Procentowy 3 9 2 7" xfId="29554"/>
    <cellStyle name="Procentowy 3 9 20" xfId="29555"/>
    <cellStyle name="Procentowy 3 9 20 2" xfId="29556"/>
    <cellStyle name="Procentowy 3 9 21" xfId="29557"/>
    <cellStyle name="Procentowy 3 9 21 2" xfId="29558"/>
    <cellStyle name="Procentowy 3 9 22" xfId="29559"/>
    <cellStyle name="Procentowy 3 9 22 2" xfId="29560"/>
    <cellStyle name="Procentowy 3 9 23" xfId="29561"/>
    <cellStyle name="Procentowy 3 9 23 2" xfId="29562"/>
    <cellStyle name="Procentowy 3 9 24" xfId="29563"/>
    <cellStyle name="Procentowy 3 9 24 2" xfId="29564"/>
    <cellStyle name="Procentowy 3 9 25" xfId="29565"/>
    <cellStyle name="Procentowy 3 9 25 2" xfId="29566"/>
    <cellStyle name="Procentowy 3 9 26" xfId="29567"/>
    <cellStyle name="Procentowy 3 9 26 2" xfId="29568"/>
    <cellStyle name="Procentowy 3 9 27" xfId="29569"/>
    <cellStyle name="Procentowy 3 9 27 2" xfId="29570"/>
    <cellStyle name="Procentowy 3 9 28" xfId="29571"/>
    <cellStyle name="Procentowy 3 9 28 2" xfId="29572"/>
    <cellStyle name="Procentowy 3 9 29" xfId="29573"/>
    <cellStyle name="Procentowy 3 9 29 2" xfId="29574"/>
    <cellStyle name="Procentowy 3 9 3" xfId="29575"/>
    <cellStyle name="Procentowy 3 9 3 2" xfId="29576"/>
    <cellStyle name="Procentowy 3 9 3 3" xfId="29577"/>
    <cellStyle name="Procentowy 3 9 3 4" xfId="29578"/>
    <cellStyle name="Procentowy 3 9 3 5" xfId="29579"/>
    <cellStyle name="Procentowy 3 9 3 6" xfId="29580"/>
    <cellStyle name="Procentowy 3 9 3 7" xfId="29581"/>
    <cellStyle name="Procentowy 3 9 30" xfId="29582"/>
    <cellStyle name="Procentowy 3 9 30 2" xfId="29583"/>
    <cellStyle name="Procentowy 3 9 31" xfId="29584"/>
    <cellStyle name="Procentowy 3 9 31 2" xfId="29585"/>
    <cellStyle name="Procentowy 3 9 32" xfId="29586"/>
    <cellStyle name="Procentowy 3 9 33" xfId="29587"/>
    <cellStyle name="Procentowy 3 9 34" xfId="29588"/>
    <cellStyle name="Procentowy 3 9 35" xfId="29589"/>
    <cellStyle name="Procentowy 3 9 36" xfId="29590"/>
    <cellStyle name="Procentowy 3 9 37" xfId="29591"/>
    <cellStyle name="Procentowy 3 9 38" xfId="29592"/>
    <cellStyle name="Procentowy 3 9 39" xfId="29593"/>
    <cellStyle name="Procentowy 3 9 4" xfId="29594"/>
    <cellStyle name="Procentowy 3 9 4 2" xfId="29595"/>
    <cellStyle name="Procentowy 3 9 4 3" xfId="29596"/>
    <cellStyle name="Procentowy 3 9 4 4" xfId="29597"/>
    <cellStyle name="Procentowy 3 9 4 5" xfId="29598"/>
    <cellStyle name="Procentowy 3 9 4 6" xfId="29599"/>
    <cellStyle name="Procentowy 3 9 4 7" xfId="29600"/>
    <cellStyle name="Procentowy 3 9 40" xfId="29601"/>
    <cellStyle name="Procentowy 3 9 41" xfId="29602"/>
    <cellStyle name="Procentowy 3 9 42" xfId="29603"/>
    <cellStyle name="Procentowy 3 9 43" xfId="29604"/>
    <cellStyle name="Procentowy 3 9 44" xfId="29605"/>
    <cellStyle name="Procentowy 3 9 45" xfId="29606"/>
    <cellStyle name="Procentowy 3 9 46" xfId="29607"/>
    <cellStyle name="Procentowy 3 9 47" xfId="29608"/>
    <cellStyle name="Procentowy 3 9 48" xfId="29609"/>
    <cellStyle name="Procentowy 3 9 49" xfId="29610"/>
    <cellStyle name="Procentowy 3 9 5" xfId="29611"/>
    <cellStyle name="Procentowy 3 9 5 2" xfId="29612"/>
    <cellStyle name="Procentowy 3 9 5 3" xfId="29613"/>
    <cellStyle name="Procentowy 3 9 5 4" xfId="29614"/>
    <cellStyle name="Procentowy 3 9 5 5" xfId="29615"/>
    <cellStyle name="Procentowy 3 9 5 6" xfId="29616"/>
    <cellStyle name="Procentowy 3 9 5 7" xfId="29617"/>
    <cellStyle name="Procentowy 3 9 50" xfId="29618"/>
    <cellStyle name="Procentowy 3 9 51" xfId="29619"/>
    <cellStyle name="Procentowy 3 9 52" xfId="29620"/>
    <cellStyle name="Procentowy 3 9 53" xfId="29621"/>
    <cellStyle name="Procentowy 3 9 54" xfId="29622"/>
    <cellStyle name="Procentowy 3 9 55" xfId="29623"/>
    <cellStyle name="Procentowy 3 9 56" xfId="29624"/>
    <cellStyle name="Procentowy 3 9 57" xfId="29625"/>
    <cellStyle name="Procentowy 3 9 58" xfId="29626"/>
    <cellStyle name="Procentowy 3 9 59" xfId="29627"/>
    <cellStyle name="Procentowy 3 9 6" xfId="29628"/>
    <cellStyle name="Procentowy 3 9 6 2" xfId="29629"/>
    <cellStyle name="Procentowy 3 9 60" xfId="29630"/>
    <cellStyle name="Procentowy 3 9 61" xfId="29631"/>
    <cellStyle name="Procentowy 3 9 62" xfId="29632"/>
    <cellStyle name="Procentowy 3 9 63" xfId="29633"/>
    <cellStyle name="Procentowy 3 9 64" xfId="29634"/>
    <cellStyle name="Procentowy 3 9 65" xfId="29635"/>
    <cellStyle name="Procentowy 3 9 66" xfId="29636"/>
    <cellStyle name="Procentowy 3 9 67" xfId="29637"/>
    <cellStyle name="Procentowy 3 9 68" xfId="29638"/>
    <cellStyle name="Procentowy 3 9 69" xfId="29639"/>
    <cellStyle name="Procentowy 3 9 7" xfId="29640"/>
    <cellStyle name="Procentowy 3 9 7 2" xfId="29641"/>
    <cellStyle name="Procentowy 3 9 70" xfId="29642"/>
    <cellStyle name="Procentowy 3 9 71" xfId="29643"/>
    <cellStyle name="Procentowy 3 9 72" xfId="29644"/>
    <cellStyle name="Procentowy 3 9 73" xfId="29645"/>
    <cellStyle name="Procentowy 3 9 74" xfId="29646"/>
    <cellStyle name="Procentowy 3 9 8" xfId="29647"/>
    <cellStyle name="Procentowy 3 9 8 2" xfId="29648"/>
    <cellStyle name="Procentowy 3 9 9" xfId="29649"/>
    <cellStyle name="Procentowy 3 9 9 2" xfId="29650"/>
    <cellStyle name="Procentowy 3 90" xfId="29651"/>
    <cellStyle name="Procentowy 3 91" xfId="29652"/>
    <cellStyle name="Procentowy 3 92" xfId="29653"/>
    <cellStyle name="Procentowy 3 93" xfId="29654"/>
    <cellStyle name="Procentowy 3 94" xfId="29655"/>
    <cellStyle name="Procentowy 3 95" xfId="29656"/>
    <cellStyle name="Procentowy 3 96" xfId="29657"/>
    <cellStyle name="Procentowy 3 97" xfId="29658"/>
    <cellStyle name="Procentowy 3 98" xfId="29659"/>
    <cellStyle name="Procentowy 3 99" xfId="26655"/>
    <cellStyle name="Procentowy 4" xfId="29660"/>
    <cellStyle name="Procentowy 4 10" xfId="29661"/>
    <cellStyle name="Procentowy 4 11" xfId="29662"/>
    <cellStyle name="Procentowy 4 12" xfId="29663"/>
    <cellStyle name="Procentowy 4 13" xfId="29664"/>
    <cellStyle name="Procentowy 4 14" xfId="29665"/>
    <cellStyle name="Procentowy 4 15" xfId="29666"/>
    <cellStyle name="Procentowy 4 16" xfId="29667"/>
    <cellStyle name="Procentowy 4 17" xfId="29668"/>
    <cellStyle name="Procentowy 4 18" xfId="29669"/>
    <cellStyle name="Procentowy 4 2" xfId="29670"/>
    <cellStyle name="Procentowy 4 2 2" xfId="29671"/>
    <cellStyle name="Procentowy 4 3" xfId="29672"/>
    <cellStyle name="Procentowy 4 3 2" xfId="29673"/>
    <cellStyle name="Procentowy 4 4" xfId="29674"/>
    <cellStyle name="Procentowy 4 4 2" xfId="29675"/>
    <cellStyle name="Procentowy 4 4 3" xfId="29676"/>
    <cellStyle name="Procentowy 4 5" xfId="29677"/>
    <cellStyle name="Procentowy 4 6" xfId="29678"/>
    <cellStyle name="Procentowy 4 7" xfId="29679"/>
    <cellStyle name="Procentowy 4 8" xfId="29680"/>
    <cellStyle name="Procentowy 4 9" xfId="29681"/>
    <cellStyle name="Procentowy 5" xfId="29682"/>
    <cellStyle name="Procentowy 5 2" xfId="29683"/>
    <cellStyle name="Procentowy 5 2 2" xfId="29684"/>
    <cellStyle name="Procentowy 5 2 3" xfId="29685"/>
    <cellStyle name="Procentowy 5 3" xfId="29686"/>
    <cellStyle name="Procentowy 5 4" xfId="29687"/>
    <cellStyle name="Procentowy 5 5" xfId="29688"/>
    <cellStyle name="Procentowy 5 6" xfId="29689"/>
    <cellStyle name="Procentowy 5 7" xfId="29690"/>
    <cellStyle name="Procentowy 5 8" xfId="29691"/>
    <cellStyle name="Procentowy 6" xfId="29692"/>
    <cellStyle name="Procentowy 6 2" xfId="29693"/>
    <cellStyle name="Procentowy 6 3" xfId="29694"/>
    <cellStyle name="Procentowy 7" xfId="29695"/>
    <cellStyle name="Procentowy 7 2" xfId="29696"/>
    <cellStyle name="Procentowy 7 2 2" xfId="29697"/>
    <cellStyle name="Procentowy 7 3" xfId="29698"/>
    <cellStyle name="Procentowy 8" xfId="29699"/>
    <cellStyle name="Procentowy 8 2" xfId="29700"/>
    <cellStyle name="Procentowy 9" xfId="29701"/>
    <cellStyle name="Procentowy 9 2" xfId="29702"/>
    <cellStyle name="SAPBEXaggData" xfId="29703"/>
    <cellStyle name="SAPBEXaggDataEmph" xfId="29704"/>
    <cellStyle name="SAPBEXaggItem" xfId="29705"/>
    <cellStyle name="SAPBEXaggItemX" xfId="29706"/>
    <cellStyle name="SAPBEXchaText" xfId="29707"/>
    <cellStyle name="SAPBEXexcBad7" xfId="29708"/>
    <cellStyle name="SAPBEXexcBad8" xfId="29709"/>
    <cellStyle name="SAPBEXexcBad9" xfId="29710"/>
    <cellStyle name="SAPBEXexcCritical4" xfId="29711"/>
    <cellStyle name="SAPBEXexcCritical5" xfId="29712"/>
    <cellStyle name="SAPBEXexcCritical6" xfId="29713"/>
    <cellStyle name="SAPBEXexcGood1" xfId="29714"/>
    <cellStyle name="SAPBEXexcGood2" xfId="29715"/>
    <cellStyle name="SAPBEXexcGood3" xfId="29716"/>
    <cellStyle name="SAPBEXfilterDrill" xfId="29717"/>
    <cellStyle name="SAPBEXfilterItem" xfId="29718"/>
    <cellStyle name="SAPBEXfilterText" xfId="29719"/>
    <cellStyle name="SAPBEXformats" xfId="29720"/>
    <cellStyle name="SAPBEXheaderItem" xfId="29721"/>
    <cellStyle name="SAPBEXheaderText" xfId="29722"/>
    <cellStyle name="SAPBEXHLevel0" xfId="29723"/>
    <cellStyle name="SAPBEXHLevel0 2" xfId="29724"/>
    <cellStyle name="SAPBEXHLevel0 3" xfId="29725"/>
    <cellStyle name="SAPBEXHLevel0X" xfId="29726"/>
    <cellStyle name="SAPBEXHLevel0X 2" xfId="29727"/>
    <cellStyle name="SAPBEXHLevel0X 3" xfId="29728"/>
    <cellStyle name="SAPBEXHLevel1" xfId="29729"/>
    <cellStyle name="SAPBEXHLevel1 2" xfId="29730"/>
    <cellStyle name="SAPBEXHLevel1 3" xfId="29731"/>
    <cellStyle name="SAPBEXHLevel1X" xfId="29732"/>
    <cellStyle name="SAPBEXHLevel1X 2" xfId="29733"/>
    <cellStyle name="SAPBEXHLevel1X 3" xfId="29734"/>
    <cellStyle name="SAPBEXHLevel2" xfId="29735"/>
    <cellStyle name="SAPBEXHLevel2 2" xfId="29736"/>
    <cellStyle name="SAPBEXHLevel2 3" xfId="29737"/>
    <cellStyle name="SAPBEXHLevel2X" xfId="29738"/>
    <cellStyle name="SAPBEXHLevel2X 2" xfId="29739"/>
    <cellStyle name="SAPBEXHLevel2X 3" xfId="29740"/>
    <cellStyle name="SAPBEXHLevel3" xfId="29741"/>
    <cellStyle name="SAPBEXHLevel3 2" xfId="29742"/>
    <cellStyle name="SAPBEXHLevel3 3" xfId="29743"/>
    <cellStyle name="SAPBEXHLevel3X" xfId="29744"/>
    <cellStyle name="SAPBEXHLevel3X 2" xfId="29745"/>
    <cellStyle name="SAPBEXHLevel3X 3" xfId="29746"/>
    <cellStyle name="SAPBEXresData" xfId="29747"/>
    <cellStyle name="SAPBEXresDataEmph" xfId="29748"/>
    <cellStyle name="SAPBEXresItem" xfId="29749"/>
    <cellStyle name="SAPBEXresItemX" xfId="29750"/>
    <cellStyle name="SAPBEXstdData" xfId="29751"/>
    <cellStyle name="SAPBEXstdData 2" xfId="29752"/>
    <cellStyle name="SAPBEXstdDataEmph" xfId="29753"/>
    <cellStyle name="SAPBEXstdItem" xfId="29754"/>
    <cellStyle name="SAPBEXstdItemX" xfId="29755"/>
    <cellStyle name="SAPBEXtitle" xfId="29756"/>
    <cellStyle name="SAPBEXundefined" xfId="29757"/>
    <cellStyle name="Standard_internet1997" xfId="29758"/>
    <cellStyle name="Styl 1" xfId="29759"/>
    <cellStyle name="Style 1" xfId="29760"/>
    <cellStyle name="Sum" xfId="29761"/>
    <cellStyle name="Suma 2" xfId="29762"/>
    <cellStyle name="Suma 2 10" xfId="29763"/>
    <cellStyle name="Suma 2 10 10" xfId="29764"/>
    <cellStyle name="Suma 2 10 10 2" xfId="29765"/>
    <cellStyle name="Suma 2 10 10 3" xfId="29766"/>
    <cellStyle name="Suma 2 10 10 4" xfId="29767"/>
    <cellStyle name="Suma 2 10 11" xfId="29768"/>
    <cellStyle name="Suma 2 10 11 2" xfId="29769"/>
    <cellStyle name="Suma 2 10 11 3" xfId="29770"/>
    <cellStyle name="Suma 2 10 11 4" xfId="29771"/>
    <cellStyle name="Suma 2 10 12" xfId="29772"/>
    <cellStyle name="Suma 2 10 12 2" xfId="29773"/>
    <cellStyle name="Suma 2 10 12 3" xfId="29774"/>
    <cellStyle name="Suma 2 10 12 4" xfId="29775"/>
    <cellStyle name="Suma 2 10 13" xfId="29776"/>
    <cellStyle name="Suma 2 10 13 2" xfId="29777"/>
    <cellStyle name="Suma 2 10 13 3" xfId="29778"/>
    <cellStyle name="Suma 2 10 13 4" xfId="29779"/>
    <cellStyle name="Suma 2 10 14" xfId="29780"/>
    <cellStyle name="Suma 2 10 14 2" xfId="29781"/>
    <cellStyle name="Suma 2 10 14 3" xfId="29782"/>
    <cellStyle name="Suma 2 10 14 4" xfId="29783"/>
    <cellStyle name="Suma 2 10 15" xfId="29784"/>
    <cellStyle name="Suma 2 10 15 2" xfId="29785"/>
    <cellStyle name="Suma 2 10 15 3" xfId="29786"/>
    <cellStyle name="Suma 2 10 15 4" xfId="29787"/>
    <cellStyle name="Suma 2 10 16" xfId="29788"/>
    <cellStyle name="Suma 2 10 16 2" xfId="29789"/>
    <cellStyle name="Suma 2 10 16 3" xfId="29790"/>
    <cellStyle name="Suma 2 10 16 4" xfId="29791"/>
    <cellStyle name="Suma 2 10 17" xfId="29792"/>
    <cellStyle name="Suma 2 10 17 2" xfId="29793"/>
    <cellStyle name="Suma 2 10 17 3" xfId="29794"/>
    <cellStyle name="Suma 2 10 17 4" xfId="29795"/>
    <cellStyle name="Suma 2 10 18" xfId="29796"/>
    <cellStyle name="Suma 2 10 18 2" xfId="29797"/>
    <cellStyle name="Suma 2 10 18 3" xfId="29798"/>
    <cellStyle name="Suma 2 10 18 4" xfId="29799"/>
    <cellStyle name="Suma 2 10 19" xfId="29800"/>
    <cellStyle name="Suma 2 10 19 2" xfId="29801"/>
    <cellStyle name="Suma 2 10 19 3" xfId="29802"/>
    <cellStyle name="Suma 2 10 19 4" xfId="29803"/>
    <cellStyle name="Suma 2 10 2" xfId="29804"/>
    <cellStyle name="Suma 2 10 2 2" xfId="29805"/>
    <cellStyle name="Suma 2 10 2 3" xfId="29806"/>
    <cellStyle name="Suma 2 10 2 4" xfId="29807"/>
    <cellStyle name="Suma 2 10 20" xfId="29808"/>
    <cellStyle name="Suma 2 10 20 2" xfId="29809"/>
    <cellStyle name="Suma 2 10 20 3" xfId="29810"/>
    <cellStyle name="Suma 2 10 20 4" xfId="29811"/>
    <cellStyle name="Suma 2 10 21" xfId="29812"/>
    <cellStyle name="Suma 2 10 21 2" xfId="29813"/>
    <cellStyle name="Suma 2 10 21 3" xfId="29814"/>
    <cellStyle name="Suma 2 10 22" xfId="29815"/>
    <cellStyle name="Suma 2 10 22 2" xfId="29816"/>
    <cellStyle name="Suma 2 10 22 3" xfId="29817"/>
    <cellStyle name="Suma 2 10 23" xfId="29818"/>
    <cellStyle name="Suma 2 10 23 2" xfId="29819"/>
    <cellStyle name="Suma 2 10 23 3" xfId="29820"/>
    <cellStyle name="Suma 2 10 24" xfId="29821"/>
    <cellStyle name="Suma 2 10 24 2" xfId="29822"/>
    <cellStyle name="Suma 2 10 24 3" xfId="29823"/>
    <cellStyle name="Suma 2 10 25" xfId="29824"/>
    <cellStyle name="Suma 2 10 25 2" xfId="29825"/>
    <cellStyle name="Suma 2 10 25 3" xfId="29826"/>
    <cellStyle name="Suma 2 10 26" xfId="29827"/>
    <cellStyle name="Suma 2 10 26 2" xfId="29828"/>
    <cellStyle name="Suma 2 10 26 3" xfId="29829"/>
    <cellStyle name="Suma 2 10 27" xfId="29830"/>
    <cellStyle name="Suma 2 10 27 2" xfId="29831"/>
    <cellStyle name="Suma 2 10 27 3" xfId="29832"/>
    <cellStyle name="Suma 2 10 28" xfId="29833"/>
    <cellStyle name="Suma 2 10 28 2" xfId="29834"/>
    <cellStyle name="Suma 2 10 28 3" xfId="29835"/>
    <cellStyle name="Suma 2 10 29" xfId="29836"/>
    <cellStyle name="Suma 2 10 29 2" xfId="29837"/>
    <cellStyle name="Suma 2 10 29 3" xfId="29838"/>
    <cellStyle name="Suma 2 10 3" xfId="29839"/>
    <cellStyle name="Suma 2 10 3 2" xfId="29840"/>
    <cellStyle name="Suma 2 10 3 3" xfId="29841"/>
    <cellStyle name="Suma 2 10 3 4" xfId="29842"/>
    <cellStyle name="Suma 2 10 30" xfId="29843"/>
    <cellStyle name="Suma 2 10 30 2" xfId="29844"/>
    <cellStyle name="Suma 2 10 30 3" xfId="29845"/>
    <cellStyle name="Suma 2 10 31" xfId="29846"/>
    <cellStyle name="Suma 2 10 31 2" xfId="29847"/>
    <cellStyle name="Suma 2 10 31 3" xfId="29848"/>
    <cellStyle name="Suma 2 10 32" xfId="29849"/>
    <cellStyle name="Suma 2 10 32 2" xfId="29850"/>
    <cellStyle name="Suma 2 10 32 3" xfId="29851"/>
    <cellStyle name="Suma 2 10 33" xfId="29852"/>
    <cellStyle name="Suma 2 10 33 2" xfId="29853"/>
    <cellStyle name="Suma 2 10 33 3" xfId="29854"/>
    <cellStyle name="Suma 2 10 34" xfId="29855"/>
    <cellStyle name="Suma 2 10 34 2" xfId="29856"/>
    <cellStyle name="Suma 2 10 34 3" xfId="29857"/>
    <cellStyle name="Suma 2 10 35" xfId="29858"/>
    <cellStyle name="Suma 2 10 35 2" xfId="29859"/>
    <cellStyle name="Suma 2 10 35 3" xfId="29860"/>
    <cellStyle name="Suma 2 10 36" xfId="29861"/>
    <cellStyle name="Suma 2 10 36 2" xfId="29862"/>
    <cellStyle name="Suma 2 10 36 3" xfId="29863"/>
    <cellStyle name="Suma 2 10 37" xfId="29864"/>
    <cellStyle name="Suma 2 10 37 2" xfId="29865"/>
    <cellStyle name="Suma 2 10 37 3" xfId="29866"/>
    <cellStyle name="Suma 2 10 38" xfId="29867"/>
    <cellStyle name="Suma 2 10 38 2" xfId="29868"/>
    <cellStyle name="Suma 2 10 38 3" xfId="29869"/>
    <cellStyle name="Suma 2 10 39" xfId="29870"/>
    <cellStyle name="Suma 2 10 39 2" xfId="29871"/>
    <cellStyle name="Suma 2 10 39 3" xfId="29872"/>
    <cellStyle name="Suma 2 10 4" xfId="29873"/>
    <cellStyle name="Suma 2 10 4 2" xfId="29874"/>
    <cellStyle name="Suma 2 10 4 3" xfId="29875"/>
    <cellStyle name="Suma 2 10 4 4" xfId="29876"/>
    <cellStyle name="Suma 2 10 40" xfId="29877"/>
    <cellStyle name="Suma 2 10 40 2" xfId="29878"/>
    <cellStyle name="Suma 2 10 40 3" xfId="29879"/>
    <cellStyle name="Suma 2 10 41" xfId="29880"/>
    <cellStyle name="Suma 2 10 41 2" xfId="29881"/>
    <cellStyle name="Suma 2 10 41 3" xfId="29882"/>
    <cellStyle name="Suma 2 10 42" xfId="29883"/>
    <cellStyle name="Suma 2 10 42 2" xfId="29884"/>
    <cellStyle name="Suma 2 10 42 3" xfId="29885"/>
    <cellStyle name="Suma 2 10 43" xfId="29886"/>
    <cellStyle name="Suma 2 10 43 2" xfId="29887"/>
    <cellStyle name="Suma 2 10 43 3" xfId="29888"/>
    <cellStyle name="Suma 2 10 44" xfId="29889"/>
    <cellStyle name="Suma 2 10 44 2" xfId="29890"/>
    <cellStyle name="Suma 2 10 44 3" xfId="29891"/>
    <cellStyle name="Suma 2 10 45" xfId="29892"/>
    <cellStyle name="Suma 2 10 45 2" xfId="29893"/>
    <cellStyle name="Suma 2 10 45 3" xfId="29894"/>
    <cellStyle name="Suma 2 10 46" xfId="29895"/>
    <cellStyle name="Suma 2 10 46 2" xfId="29896"/>
    <cellStyle name="Suma 2 10 46 3" xfId="29897"/>
    <cellStyle name="Suma 2 10 47" xfId="29898"/>
    <cellStyle name="Suma 2 10 47 2" xfId="29899"/>
    <cellStyle name="Suma 2 10 47 3" xfId="29900"/>
    <cellStyle name="Suma 2 10 48" xfId="29901"/>
    <cellStyle name="Suma 2 10 48 2" xfId="29902"/>
    <cellStyle name="Suma 2 10 48 3" xfId="29903"/>
    <cellStyle name="Suma 2 10 49" xfId="29904"/>
    <cellStyle name="Suma 2 10 49 2" xfId="29905"/>
    <cellStyle name="Suma 2 10 49 3" xfId="29906"/>
    <cellStyle name="Suma 2 10 5" xfId="29907"/>
    <cellStyle name="Suma 2 10 5 2" xfId="29908"/>
    <cellStyle name="Suma 2 10 5 3" xfId="29909"/>
    <cellStyle name="Suma 2 10 5 4" xfId="29910"/>
    <cellStyle name="Suma 2 10 50" xfId="29911"/>
    <cellStyle name="Suma 2 10 50 2" xfId="29912"/>
    <cellStyle name="Suma 2 10 50 3" xfId="29913"/>
    <cellStyle name="Suma 2 10 51" xfId="29914"/>
    <cellStyle name="Suma 2 10 51 2" xfId="29915"/>
    <cellStyle name="Suma 2 10 51 3" xfId="29916"/>
    <cellStyle name="Suma 2 10 52" xfId="29917"/>
    <cellStyle name="Suma 2 10 52 2" xfId="29918"/>
    <cellStyle name="Suma 2 10 52 3" xfId="29919"/>
    <cellStyle name="Suma 2 10 53" xfId="29920"/>
    <cellStyle name="Suma 2 10 53 2" xfId="29921"/>
    <cellStyle name="Suma 2 10 53 3" xfId="29922"/>
    <cellStyle name="Suma 2 10 54" xfId="29923"/>
    <cellStyle name="Suma 2 10 54 2" xfId="29924"/>
    <cellStyle name="Suma 2 10 54 3" xfId="29925"/>
    <cellStyle name="Suma 2 10 55" xfId="29926"/>
    <cellStyle name="Suma 2 10 55 2" xfId="29927"/>
    <cellStyle name="Suma 2 10 55 3" xfId="29928"/>
    <cellStyle name="Suma 2 10 56" xfId="29929"/>
    <cellStyle name="Suma 2 10 56 2" xfId="29930"/>
    <cellStyle name="Suma 2 10 56 3" xfId="29931"/>
    <cellStyle name="Suma 2 10 57" xfId="29932"/>
    <cellStyle name="Suma 2 10 58" xfId="29933"/>
    <cellStyle name="Suma 2 10 6" xfId="29934"/>
    <cellStyle name="Suma 2 10 6 2" xfId="29935"/>
    <cellStyle name="Suma 2 10 6 3" xfId="29936"/>
    <cellStyle name="Suma 2 10 6 4" xfId="29937"/>
    <cellStyle name="Suma 2 10 7" xfId="29938"/>
    <cellStyle name="Suma 2 10 7 2" xfId="29939"/>
    <cellStyle name="Suma 2 10 7 3" xfId="29940"/>
    <cellStyle name="Suma 2 10 7 4" xfId="29941"/>
    <cellStyle name="Suma 2 10 8" xfId="29942"/>
    <cellStyle name="Suma 2 10 8 2" xfId="29943"/>
    <cellStyle name="Suma 2 10 8 3" xfId="29944"/>
    <cellStyle name="Suma 2 10 8 4" xfId="29945"/>
    <cellStyle name="Suma 2 10 9" xfId="29946"/>
    <cellStyle name="Suma 2 10 9 2" xfId="29947"/>
    <cellStyle name="Suma 2 10 9 3" xfId="29948"/>
    <cellStyle name="Suma 2 10 9 4" xfId="29949"/>
    <cellStyle name="Suma 2 11" xfId="29950"/>
    <cellStyle name="Suma 2 11 10" xfId="29951"/>
    <cellStyle name="Suma 2 11 10 2" xfId="29952"/>
    <cellStyle name="Suma 2 11 10 3" xfId="29953"/>
    <cellStyle name="Suma 2 11 10 4" xfId="29954"/>
    <cellStyle name="Suma 2 11 11" xfId="29955"/>
    <cellStyle name="Suma 2 11 11 2" xfId="29956"/>
    <cellStyle name="Suma 2 11 11 3" xfId="29957"/>
    <cellStyle name="Suma 2 11 11 4" xfId="29958"/>
    <cellStyle name="Suma 2 11 12" xfId="29959"/>
    <cellStyle name="Suma 2 11 12 2" xfId="29960"/>
    <cellStyle name="Suma 2 11 12 3" xfId="29961"/>
    <cellStyle name="Suma 2 11 12 4" xfId="29962"/>
    <cellStyle name="Suma 2 11 13" xfId="29963"/>
    <cellStyle name="Suma 2 11 13 2" xfId="29964"/>
    <cellStyle name="Suma 2 11 13 3" xfId="29965"/>
    <cellStyle name="Suma 2 11 13 4" xfId="29966"/>
    <cellStyle name="Suma 2 11 14" xfId="29967"/>
    <cellStyle name="Suma 2 11 14 2" xfId="29968"/>
    <cellStyle name="Suma 2 11 14 3" xfId="29969"/>
    <cellStyle name="Suma 2 11 14 4" xfId="29970"/>
    <cellStyle name="Suma 2 11 15" xfId="29971"/>
    <cellStyle name="Suma 2 11 15 2" xfId="29972"/>
    <cellStyle name="Suma 2 11 15 3" xfId="29973"/>
    <cellStyle name="Suma 2 11 15 4" xfId="29974"/>
    <cellStyle name="Suma 2 11 16" xfId="29975"/>
    <cellStyle name="Suma 2 11 16 2" xfId="29976"/>
    <cellStyle name="Suma 2 11 16 3" xfId="29977"/>
    <cellStyle name="Suma 2 11 16 4" xfId="29978"/>
    <cellStyle name="Suma 2 11 17" xfId="29979"/>
    <cellStyle name="Suma 2 11 17 2" xfId="29980"/>
    <cellStyle name="Suma 2 11 17 3" xfId="29981"/>
    <cellStyle name="Suma 2 11 17 4" xfId="29982"/>
    <cellStyle name="Suma 2 11 18" xfId="29983"/>
    <cellStyle name="Suma 2 11 18 2" xfId="29984"/>
    <cellStyle name="Suma 2 11 18 3" xfId="29985"/>
    <cellStyle name="Suma 2 11 18 4" xfId="29986"/>
    <cellStyle name="Suma 2 11 19" xfId="29987"/>
    <cellStyle name="Suma 2 11 19 2" xfId="29988"/>
    <cellStyle name="Suma 2 11 19 3" xfId="29989"/>
    <cellStyle name="Suma 2 11 19 4" xfId="29990"/>
    <cellStyle name="Suma 2 11 2" xfId="29991"/>
    <cellStyle name="Suma 2 11 2 2" xfId="29992"/>
    <cellStyle name="Suma 2 11 2 3" xfId="29993"/>
    <cellStyle name="Suma 2 11 2 4" xfId="29994"/>
    <cellStyle name="Suma 2 11 20" xfId="29995"/>
    <cellStyle name="Suma 2 11 20 2" xfId="29996"/>
    <cellStyle name="Suma 2 11 20 3" xfId="29997"/>
    <cellStyle name="Suma 2 11 20 4" xfId="29998"/>
    <cellStyle name="Suma 2 11 21" xfId="29999"/>
    <cellStyle name="Suma 2 11 21 2" xfId="30000"/>
    <cellStyle name="Suma 2 11 21 3" xfId="30001"/>
    <cellStyle name="Suma 2 11 22" xfId="30002"/>
    <cellStyle name="Suma 2 11 22 2" xfId="30003"/>
    <cellStyle name="Suma 2 11 22 3" xfId="30004"/>
    <cellStyle name="Suma 2 11 23" xfId="30005"/>
    <cellStyle name="Suma 2 11 23 2" xfId="30006"/>
    <cellStyle name="Suma 2 11 23 3" xfId="30007"/>
    <cellStyle name="Suma 2 11 24" xfId="30008"/>
    <cellStyle name="Suma 2 11 24 2" xfId="30009"/>
    <cellStyle name="Suma 2 11 24 3" xfId="30010"/>
    <cellStyle name="Suma 2 11 25" xfId="30011"/>
    <cellStyle name="Suma 2 11 25 2" xfId="30012"/>
    <cellStyle name="Suma 2 11 25 3" xfId="30013"/>
    <cellStyle name="Suma 2 11 26" xfId="30014"/>
    <cellStyle name="Suma 2 11 26 2" xfId="30015"/>
    <cellStyle name="Suma 2 11 26 3" xfId="30016"/>
    <cellStyle name="Suma 2 11 27" xfId="30017"/>
    <cellStyle name="Suma 2 11 27 2" xfId="30018"/>
    <cellStyle name="Suma 2 11 27 3" xfId="30019"/>
    <cellStyle name="Suma 2 11 28" xfId="30020"/>
    <cellStyle name="Suma 2 11 28 2" xfId="30021"/>
    <cellStyle name="Suma 2 11 28 3" xfId="30022"/>
    <cellStyle name="Suma 2 11 29" xfId="30023"/>
    <cellStyle name="Suma 2 11 29 2" xfId="30024"/>
    <cellStyle name="Suma 2 11 29 3" xfId="30025"/>
    <cellStyle name="Suma 2 11 3" xfId="30026"/>
    <cellStyle name="Suma 2 11 3 2" xfId="30027"/>
    <cellStyle name="Suma 2 11 3 3" xfId="30028"/>
    <cellStyle name="Suma 2 11 3 4" xfId="30029"/>
    <cellStyle name="Suma 2 11 30" xfId="30030"/>
    <cellStyle name="Suma 2 11 30 2" xfId="30031"/>
    <cellStyle name="Suma 2 11 30 3" xfId="30032"/>
    <cellStyle name="Suma 2 11 31" xfId="30033"/>
    <cellStyle name="Suma 2 11 31 2" xfId="30034"/>
    <cellStyle name="Suma 2 11 31 3" xfId="30035"/>
    <cellStyle name="Suma 2 11 32" xfId="30036"/>
    <cellStyle name="Suma 2 11 32 2" xfId="30037"/>
    <cellStyle name="Suma 2 11 32 3" xfId="30038"/>
    <cellStyle name="Suma 2 11 33" xfId="30039"/>
    <cellStyle name="Suma 2 11 33 2" xfId="30040"/>
    <cellStyle name="Suma 2 11 33 3" xfId="30041"/>
    <cellStyle name="Suma 2 11 34" xfId="30042"/>
    <cellStyle name="Suma 2 11 34 2" xfId="30043"/>
    <cellStyle name="Suma 2 11 34 3" xfId="30044"/>
    <cellStyle name="Suma 2 11 35" xfId="30045"/>
    <cellStyle name="Suma 2 11 35 2" xfId="30046"/>
    <cellStyle name="Suma 2 11 35 3" xfId="30047"/>
    <cellStyle name="Suma 2 11 36" xfId="30048"/>
    <cellStyle name="Suma 2 11 36 2" xfId="30049"/>
    <cellStyle name="Suma 2 11 36 3" xfId="30050"/>
    <cellStyle name="Suma 2 11 37" xfId="30051"/>
    <cellStyle name="Suma 2 11 37 2" xfId="30052"/>
    <cellStyle name="Suma 2 11 37 3" xfId="30053"/>
    <cellStyle name="Suma 2 11 38" xfId="30054"/>
    <cellStyle name="Suma 2 11 38 2" xfId="30055"/>
    <cellStyle name="Suma 2 11 38 3" xfId="30056"/>
    <cellStyle name="Suma 2 11 39" xfId="30057"/>
    <cellStyle name="Suma 2 11 39 2" xfId="30058"/>
    <cellStyle name="Suma 2 11 39 3" xfId="30059"/>
    <cellStyle name="Suma 2 11 4" xfId="30060"/>
    <cellStyle name="Suma 2 11 4 2" xfId="30061"/>
    <cellStyle name="Suma 2 11 4 3" xfId="30062"/>
    <cellStyle name="Suma 2 11 4 4" xfId="30063"/>
    <cellStyle name="Suma 2 11 40" xfId="30064"/>
    <cellStyle name="Suma 2 11 40 2" xfId="30065"/>
    <cellStyle name="Suma 2 11 40 3" xfId="30066"/>
    <cellStyle name="Suma 2 11 41" xfId="30067"/>
    <cellStyle name="Suma 2 11 41 2" xfId="30068"/>
    <cellStyle name="Suma 2 11 41 3" xfId="30069"/>
    <cellStyle name="Suma 2 11 42" xfId="30070"/>
    <cellStyle name="Suma 2 11 42 2" xfId="30071"/>
    <cellStyle name="Suma 2 11 42 3" xfId="30072"/>
    <cellStyle name="Suma 2 11 43" xfId="30073"/>
    <cellStyle name="Suma 2 11 43 2" xfId="30074"/>
    <cellStyle name="Suma 2 11 43 3" xfId="30075"/>
    <cellStyle name="Suma 2 11 44" xfId="30076"/>
    <cellStyle name="Suma 2 11 44 2" xfId="30077"/>
    <cellStyle name="Suma 2 11 44 3" xfId="30078"/>
    <cellStyle name="Suma 2 11 45" xfId="30079"/>
    <cellStyle name="Suma 2 11 45 2" xfId="30080"/>
    <cellStyle name="Suma 2 11 45 3" xfId="30081"/>
    <cellStyle name="Suma 2 11 46" xfId="30082"/>
    <cellStyle name="Suma 2 11 46 2" xfId="30083"/>
    <cellStyle name="Suma 2 11 46 3" xfId="30084"/>
    <cellStyle name="Suma 2 11 47" xfId="30085"/>
    <cellStyle name="Suma 2 11 47 2" xfId="30086"/>
    <cellStyle name="Suma 2 11 47 3" xfId="30087"/>
    <cellStyle name="Suma 2 11 48" xfId="30088"/>
    <cellStyle name="Suma 2 11 48 2" xfId="30089"/>
    <cellStyle name="Suma 2 11 48 3" xfId="30090"/>
    <cellStyle name="Suma 2 11 49" xfId="30091"/>
    <cellStyle name="Suma 2 11 49 2" xfId="30092"/>
    <cellStyle name="Suma 2 11 49 3" xfId="30093"/>
    <cellStyle name="Suma 2 11 5" xfId="30094"/>
    <cellStyle name="Suma 2 11 5 2" xfId="30095"/>
    <cellStyle name="Suma 2 11 5 3" xfId="30096"/>
    <cellStyle name="Suma 2 11 5 4" xfId="30097"/>
    <cellStyle name="Suma 2 11 50" xfId="30098"/>
    <cellStyle name="Suma 2 11 50 2" xfId="30099"/>
    <cellStyle name="Suma 2 11 50 3" xfId="30100"/>
    <cellStyle name="Suma 2 11 51" xfId="30101"/>
    <cellStyle name="Suma 2 11 51 2" xfId="30102"/>
    <cellStyle name="Suma 2 11 51 3" xfId="30103"/>
    <cellStyle name="Suma 2 11 52" xfId="30104"/>
    <cellStyle name="Suma 2 11 52 2" xfId="30105"/>
    <cellStyle name="Suma 2 11 52 3" xfId="30106"/>
    <cellStyle name="Suma 2 11 53" xfId="30107"/>
    <cellStyle name="Suma 2 11 53 2" xfId="30108"/>
    <cellStyle name="Suma 2 11 53 3" xfId="30109"/>
    <cellStyle name="Suma 2 11 54" xfId="30110"/>
    <cellStyle name="Suma 2 11 54 2" xfId="30111"/>
    <cellStyle name="Suma 2 11 54 3" xfId="30112"/>
    <cellStyle name="Suma 2 11 55" xfId="30113"/>
    <cellStyle name="Suma 2 11 55 2" xfId="30114"/>
    <cellStyle name="Suma 2 11 55 3" xfId="30115"/>
    <cellStyle name="Suma 2 11 56" xfId="30116"/>
    <cellStyle name="Suma 2 11 56 2" xfId="30117"/>
    <cellStyle name="Suma 2 11 56 3" xfId="30118"/>
    <cellStyle name="Suma 2 11 57" xfId="30119"/>
    <cellStyle name="Suma 2 11 58" xfId="30120"/>
    <cellStyle name="Suma 2 11 6" xfId="30121"/>
    <cellStyle name="Suma 2 11 6 2" xfId="30122"/>
    <cellStyle name="Suma 2 11 6 3" xfId="30123"/>
    <cellStyle name="Suma 2 11 6 4" xfId="30124"/>
    <cellStyle name="Suma 2 11 7" xfId="30125"/>
    <cellStyle name="Suma 2 11 7 2" xfId="30126"/>
    <cellStyle name="Suma 2 11 7 3" xfId="30127"/>
    <cellStyle name="Suma 2 11 7 4" xfId="30128"/>
    <cellStyle name="Suma 2 11 8" xfId="30129"/>
    <cellStyle name="Suma 2 11 8 2" xfId="30130"/>
    <cellStyle name="Suma 2 11 8 3" xfId="30131"/>
    <cellStyle name="Suma 2 11 8 4" xfId="30132"/>
    <cellStyle name="Suma 2 11 9" xfId="30133"/>
    <cellStyle name="Suma 2 11 9 2" xfId="30134"/>
    <cellStyle name="Suma 2 11 9 3" xfId="30135"/>
    <cellStyle name="Suma 2 11 9 4" xfId="30136"/>
    <cellStyle name="Suma 2 12" xfId="30137"/>
    <cellStyle name="Suma 2 12 10" xfId="30138"/>
    <cellStyle name="Suma 2 12 10 2" xfId="30139"/>
    <cellStyle name="Suma 2 12 10 3" xfId="30140"/>
    <cellStyle name="Suma 2 12 10 4" xfId="30141"/>
    <cellStyle name="Suma 2 12 11" xfId="30142"/>
    <cellStyle name="Suma 2 12 11 2" xfId="30143"/>
    <cellStyle name="Suma 2 12 11 3" xfId="30144"/>
    <cellStyle name="Suma 2 12 11 4" xfId="30145"/>
    <cellStyle name="Suma 2 12 12" xfId="30146"/>
    <cellStyle name="Suma 2 12 12 2" xfId="30147"/>
    <cellStyle name="Suma 2 12 12 3" xfId="30148"/>
    <cellStyle name="Suma 2 12 12 4" xfId="30149"/>
    <cellStyle name="Suma 2 12 13" xfId="30150"/>
    <cellStyle name="Suma 2 12 13 2" xfId="30151"/>
    <cellStyle name="Suma 2 12 13 3" xfId="30152"/>
    <cellStyle name="Suma 2 12 13 4" xfId="30153"/>
    <cellStyle name="Suma 2 12 14" xfId="30154"/>
    <cellStyle name="Suma 2 12 14 2" xfId="30155"/>
    <cellStyle name="Suma 2 12 14 3" xfId="30156"/>
    <cellStyle name="Suma 2 12 14 4" xfId="30157"/>
    <cellStyle name="Suma 2 12 15" xfId="30158"/>
    <cellStyle name="Suma 2 12 15 2" xfId="30159"/>
    <cellStyle name="Suma 2 12 15 3" xfId="30160"/>
    <cellStyle name="Suma 2 12 15 4" xfId="30161"/>
    <cellStyle name="Suma 2 12 16" xfId="30162"/>
    <cellStyle name="Suma 2 12 16 2" xfId="30163"/>
    <cellStyle name="Suma 2 12 16 3" xfId="30164"/>
    <cellStyle name="Suma 2 12 16 4" xfId="30165"/>
    <cellStyle name="Suma 2 12 17" xfId="30166"/>
    <cellStyle name="Suma 2 12 17 2" xfId="30167"/>
    <cellStyle name="Suma 2 12 17 3" xfId="30168"/>
    <cellStyle name="Suma 2 12 17 4" xfId="30169"/>
    <cellStyle name="Suma 2 12 18" xfId="30170"/>
    <cellStyle name="Suma 2 12 18 2" xfId="30171"/>
    <cellStyle name="Suma 2 12 18 3" xfId="30172"/>
    <cellStyle name="Suma 2 12 18 4" xfId="30173"/>
    <cellStyle name="Suma 2 12 19" xfId="30174"/>
    <cellStyle name="Suma 2 12 19 2" xfId="30175"/>
    <cellStyle name="Suma 2 12 19 3" xfId="30176"/>
    <cellStyle name="Suma 2 12 19 4" xfId="30177"/>
    <cellStyle name="Suma 2 12 2" xfId="30178"/>
    <cellStyle name="Suma 2 12 2 2" xfId="30179"/>
    <cellStyle name="Suma 2 12 2 3" xfId="30180"/>
    <cellStyle name="Suma 2 12 2 4" xfId="30181"/>
    <cellStyle name="Suma 2 12 20" xfId="30182"/>
    <cellStyle name="Suma 2 12 20 2" xfId="30183"/>
    <cellStyle name="Suma 2 12 20 3" xfId="30184"/>
    <cellStyle name="Suma 2 12 20 4" xfId="30185"/>
    <cellStyle name="Suma 2 12 21" xfId="30186"/>
    <cellStyle name="Suma 2 12 21 2" xfId="30187"/>
    <cellStyle name="Suma 2 12 21 3" xfId="30188"/>
    <cellStyle name="Suma 2 12 22" xfId="30189"/>
    <cellStyle name="Suma 2 12 22 2" xfId="30190"/>
    <cellStyle name="Suma 2 12 22 3" xfId="30191"/>
    <cellStyle name="Suma 2 12 23" xfId="30192"/>
    <cellStyle name="Suma 2 12 23 2" xfId="30193"/>
    <cellStyle name="Suma 2 12 23 3" xfId="30194"/>
    <cellStyle name="Suma 2 12 24" xfId="30195"/>
    <cellStyle name="Suma 2 12 24 2" xfId="30196"/>
    <cellStyle name="Suma 2 12 24 3" xfId="30197"/>
    <cellStyle name="Suma 2 12 25" xfId="30198"/>
    <cellStyle name="Suma 2 12 25 2" xfId="30199"/>
    <cellStyle name="Suma 2 12 25 3" xfId="30200"/>
    <cellStyle name="Suma 2 12 26" xfId="30201"/>
    <cellStyle name="Suma 2 12 26 2" xfId="30202"/>
    <cellStyle name="Suma 2 12 26 3" xfId="30203"/>
    <cellStyle name="Suma 2 12 27" xfId="30204"/>
    <cellStyle name="Suma 2 12 27 2" xfId="30205"/>
    <cellStyle name="Suma 2 12 27 3" xfId="30206"/>
    <cellStyle name="Suma 2 12 28" xfId="30207"/>
    <cellStyle name="Suma 2 12 28 2" xfId="30208"/>
    <cellStyle name="Suma 2 12 28 3" xfId="30209"/>
    <cellStyle name="Suma 2 12 29" xfId="30210"/>
    <cellStyle name="Suma 2 12 29 2" xfId="30211"/>
    <cellStyle name="Suma 2 12 29 3" xfId="30212"/>
    <cellStyle name="Suma 2 12 3" xfId="30213"/>
    <cellStyle name="Suma 2 12 3 2" xfId="30214"/>
    <cellStyle name="Suma 2 12 3 3" xfId="30215"/>
    <cellStyle name="Suma 2 12 3 4" xfId="30216"/>
    <cellStyle name="Suma 2 12 30" xfId="30217"/>
    <cellStyle name="Suma 2 12 30 2" xfId="30218"/>
    <cellStyle name="Suma 2 12 30 3" xfId="30219"/>
    <cellStyle name="Suma 2 12 31" xfId="30220"/>
    <cellStyle name="Suma 2 12 31 2" xfId="30221"/>
    <cellStyle name="Suma 2 12 31 3" xfId="30222"/>
    <cellStyle name="Suma 2 12 32" xfId="30223"/>
    <cellStyle name="Suma 2 12 32 2" xfId="30224"/>
    <cellStyle name="Suma 2 12 32 3" xfId="30225"/>
    <cellStyle name="Suma 2 12 33" xfId="30226"/>
    <cellStyle name="Suma 2 12 33 2" xfId="30227"/>
    <cellStyle name="Suma 2 12 33 3" xfId="30228"/>
    <cellStyle name="Suma 2 12 34" xfId="30229"/>
    <cellStyle name="Suma 2 12 34 2" xfId="30230"/>
    <cellStyle name="Suma 2 12 34 3" xfId="30231"/>
    <cellStyle name="Suma 2 12 35" xfId="30232"/>
    <cellStyle name="Suma 2 12 35 2" xfId="30233"/>
    <cellStyle name="Suma 2 12 35 3" xfId="30234"/>
    <cellStyle name="Suma 2 12 36" xfId="30235"/>
    <cellStyle name="Suma 2 12 36 2" xfId="30236"/>
    <cellStyle name="Suma 2 12 36 3" xfId="30237"/>
    <cellStyle name="Suma 2 12 37" xfId="30238"/>
    <cellStyle name="Suma 2 12 37 2" xfId="30239"/>
    <cellStyle name="Suma 2 12 37 3" xfId="30240"/>
    <cellStyle name="Suma 2 12 38" xfId="30241"/>
    <cellStyle name="Suma 2 12 38 2" xfId="30242"/>
    <cellStyle name="Suma 2 12 38 3" xfId="30243"/>
    <cellStyle name="Suma 2 12 39" xfId="30244"/>
    <cellStyle name="Suma 2 12 39 2" xfId="30245"/>
    <cellStyle name="Suma 2 12 39 3" xfId="30246"/>
    <cellStyle name="Suma 2 12 4" xfId="30247"/>
    <cellStyle name="Suma 2 12 4 2" xfId="30248"/>
    <cellStyle name="Suma 2 12 4 3" xfId="30249"/>
    <cellStyle name="Suma 2 12 4 4" xfId="30250"/>
    <cellStyle name="Suma 2 12 40" xfId="30251"/>
    <cellStyle name="Suma 2 12 40 2" xfId="30252"/>
    <cellStyle name="Suma 2 12 40 3" xfId="30253"/>
    <cellStyle name="Suma 2 12 41" xfId="30254"/>
    <cellStyle name="Suma 2 12 41 2" xfId="30255"/>
    <cellStyle name="Suma 2 12 41 3" xfId="30256"/>
    <cellStyle name="Suma 2 12 42" xfId="30257"/>
    <cellStyle name="Suma 2 12 42 2" xfId="30258"/>
    <cellStyle name="Suma 2 12 42 3" xfId="30259"/>
    <cellStyle name="Suma 2 12 43" xfId="30260"/>
    <cellStyle name="Suma 2 12 43 2" xfId="30261"/>
    <cellStyle name="Suma 2 12 43 3" xfId="30262"/>
    <cellStyle name="Suma 2 12 44" xfId="30263"/>
    <cellStyle name="Suma 2 12 44 2" xfId="30264"/>
    <cellStyle name="Suma 2 12 44 3" xfId="30265"/>
    <cellStyle name="Suma 2 12 45" xfId="30266"/>
    <cellStyle name="Suma 2 12 45 2" xfId="30267"/>
    <cellStyle name="Suma 2 12 45 3" xfId="30268"/>
    <cellStyle name="Suma 2 12 46" xfId="30269"/>
    <cellStyle name="Suma 2 12 46 2" xfId="30270"/>
    <cellStyle name="Suma 2 12 46 3" xfId="30271"/>
    <cellStyle name="Suma 2 12 47" xfId="30272"/>
    <cellStyle name="Suma 2 12 47 2" xfId="30273"/>
    <cellStyle name="Suma 2 12 47 3" xfId="30274"/>
    <cellStyle name="Suma 2 12 48" xfId="30275"/>
    <cellStyle name="Suma 2 12 48 2" xfId="30276"/>
    <cellStyle name="Suma 2 12 48 3" xfId="30277"/>
    <cellStyle name="Suma 2 12 49" xfId="30278"/>
    <cellStyle name="Suma 2 12 49 2" xfId="30279"/>
    <cellStyle name="Suma 2 12 49 3" xfId="30280"/>
    <cellStyle name="Suma 2 12 5" xfId="30281"/>
    <cellStyle name="Suma 2 12 5 2" xfId="30282"/>
    <cellStyle name="Suma 2 12 5 3" xfId="30283"/>
    <cellStyle name="Suma 2 12 5 4" xfId="30284"/>
    <cellStyle name="Suma 2 12 50" xfId="30285"/>
    <cellStyle name="Suma 2 12 50 2" xfId="30286"/>
    <cellStyle name="Suma 2 12 50 3" xfId="30287"/>
    <cellStyle name="Suma 2 12 51" xfId="30288"/>
    <cellStyle name="Suma 2 12 51 2" xfId="30289"/>
    <cellStyle name="Suma 2 12 51 3" xfId="30290"/>
    <cellStyle name="Suma 2 12 52" xfId="30291"/>
    <cellStyle name="Suma 2 12 52 2" xfId="30292"/>
    <cellStyle name="Suma 2 12 52 3" xfId="30293"/>
    <cellStyle name="Suma 2 12 53" xfId="30294"/>
    <cellStyle name="Suma 2 12 53 2" xfId="30295"/>
    <cellStyle name="Suma 2 12 53 3" xfId="30296"/>
    <cellStyle name="Suma 2 12 54" xfId="30297"/>
    <cellStyle name="Suma 2 12 54 2" xfId="30298"/>
    <cellStyle name="Suma 2 12 54 3" xfId="30299"/>
    <cellStyle name="Suma 2 12 55" xfId="30300"/>
    <cellStyle name="Suma 2 12 55 2" xfId="30301"/>
    <cellStyle name="Suma 2 12 55 3" xfId="30302"/>
    <cellStyle name="Suma 2 12 56" xfId="30303"/>
    <cellStyle name="Suma 2 12 56 2" xfId="30304"/>
    <cellStyle name="Suma 2 12 56 3" xfId="30305"/>
    <cellStyle name="Suma 2 12 57" xfId="30306"/>
    <cellStyle name="Suma 2 12 58" xfId="30307"/>
    <cellStyle name="Suma 2 12 6" xfId="30308"/>
    <cellStyle name="Suma 2 12 6 2" xfId="30309"/>
    <cellStyle name="Suma 2 12 6 3" xfId="30310"/>
    <cellStyle name="Suma 2 12 6 4" xfId="30311"/>
    <cellStyle name="Suma 2 12 7" xfId="30312"/>
    <cellStyle name="Suma 2 12 7 2" xfId="30313"/>
    <cellStyle name="Suma 2 12 7 3" xfId="30314"/>
    <cellStyle name="Suma 2 12 7 4" xfId="30315"/>
    <cellStyle name="Suma 2 12 8" xfId="30316"/>
    <cellStyle name="Suma 2 12 8 2" xfId="30317"/>
    <cellStyle name="Suma 2 12 8 3" xfId="30318"/>
    <cellStyle name="Suma 2 12 8 4" xfId="30319"/>
    <cellStyle name="Suma 2 12 9" xfId="30320"/>
    <cellStyle name="Suma 2 12 9 2" xfId="30321"/>
    <cellStyle name="Suma 2 12 9 3" xfId="30322"/>
    <cellStyle name="Suma 2 12 9 4" xfId="30323"/>
    <cellStyle name="Suma 2 13" xfId="30324"/>
    <cellStyle name="Suma 2 13 10" xfId="30325"/>
    <cellStyle name="Suma 2 13 10 2" xfId="30326"/>
    <cellStyle name="Suma 2 13 10 3" xfId="30327"/>
    <cellStyle name="Suma 2 13 10 4" xfId="30328"/>
    <cellStyle name="Suma 2 13 11" xfId="30329"/>
    <cellStyle name="Suma 2 13 11 2" xfId="30330"/>
    <cellStyle name="Suma 2 13 11 3" xfId="30331"/>
    <cellStyle name="Suma 2 13 11 4" xfId="30332"/>
    <cellStyle name="Suma 2 13 12" xfId="30333"/>
    <cellStyle name="Suma 2 13 12 2" xfId="30334"/>
    <cellStyle name="Suma 2 13 12 3" xfId="30335"/>
    <cellStyle name="Suma 2 13 12 4" xfId="30336"/>
    <cellStyle name="Suma 2 13 13" xfId="30337"/>
    <cellStyle name="Suma 2 13 13 2" xfId="30338"/>
    <cellStyle name="Suma 2 13 13 3" xfId="30339"/>
    <cellStyle name="Suma 2 13 13 4" xfId="30340"/>
    <cellStyle name="Suma 2 13 14" xfId="30341"/>
    <cellStyle name="Suma 2 13 14 2" xfId="30342"/>
    <cellStyle name="Suma 2 13 14 3" xfId="30343"/>
    <cellStyle name="Suma 2 13 14 4" xfId="30344"/>
    <cellStyle name="Suma 2 13 15" xfId="30345"/>
    <cellStyle name="Suma 2 13 15 2" xfId="30346"/>
    <cellStyle name="Suma 2 13 15 3" xfId="30347"/>
    <cellStyle name="Suma 2 13 15 4" xfId="30348"/>
    <cellStyle name="Suma 2 13 16" xfId="30349"/>
    <cellStyle name="Suma 2 13 16 2" xfId="30350"/>
    <cellStyle name="Suma 2 13 16 3" xfId="30351"/>
    <cellStyle name="Suma 2 13 16 4" xfId="30352"/>
    <cellStyle name="Suma 2 13 17" xfId="30353"/>
    <cellStyle name="Suma 2 13 17 2" xfId="30354"/>
    <cellStyle name="Suma 2 13 17 3" xfId="30355"/>
    <cellStyle name="Suma 2 13 17 4" xfId="30356"/>
    <cellStyle name="Suma 2 13 18" xfId="30357"/>
    <cellStyle name="Suma 2 13 18 2" xfId="30358"/>
    <cellStyle name="Suma 2 13 18 3" xfId="30359"/>
    <cellStyle name="Suma 2 13 18 4" xfId="30360"/>
    <cellStyle name="Suma 2 13 19" xfId="30361"/>
    <cellStyle name="Suma 2 13 19 2" xfId="30362"/>
    <cellStyle name="Suma 2 13 19 3" xfId="30363"/>
    <cellStyle name="Suma 2 13 19 4" xfId="30364"/>
    <cellStyle name="Suma 2 13 2" xfId="30365"/>
    <cellStyle name="Suma 2 13 2 2" xfId="30366"/>
    <cellStyle name="Suma 2 13 2 3" xfId="30367"/>
    <cellStyle name="Suma 2 13 2 4" xfId="30368"/>
    <cellStyle name="Suma 2 13 20" xfId="30369"/>
    <cellStyle name="Suma 2 13 20 2" xfId="30370"/>
    <cellStyle name="Suma 2 13 20 3" xfId="30371"/>
    <cellStyle name="Suma 2 13 20 4" xfId="30372"/>
    <cellStyle name="Suma 2 13 21" xfId="30373"/>
    <cellStyle name="Suma 2 13 21 2" xfId="30374"/>
    <cellStyle name="Suma 2 13 21 3" xfId="30375"/>
    <cellStyle name="Suma 2 13 22" xfId="30376"/>
    <cellStyle name="Suma 2 13 22 2" xfId="30377"/>
    <cellStyle name="Suma 2 13 22 3" xfId="30378"/>
    <cellStyle name="Suma 2 13 23" xfId="30379"/>
    <cellStyle name="Suma 2 13 23 2" xfId="30380"/>
    <cellStyle name="Suma 2 13 23 3" xfId="30381"/>
    <cellStyle name="Suma 2 13 24" xfId="30382"/>
    <cellStyle name="Suma 2 13 24 2" xfId="30383"/>
    <cellStyle name="Suma 2 13 24 3" xfId="30384"/>
    <cellStyle name="Suma 2 13 25" xfId="30385"/>
    <cellStyle name="Suma 2 13 25 2" xfId="30386"/>
    <cellStyle name="Suma 2 13 25 3" xfId="30387"/>
    <cellStyle name="Suma 2 13 26" xfId="30388"/>
    <cellStyle name="Suma 2 13 26 2" xfId="30389"/>
    <cellStyle name="Suma 2 13 26 3" xfId="30390"/>
    <cellStyle name="Suma 2 13 27" xfId="30391"/>
    <cellStyle name="Suma 2 13 27 2" xfId="30392"/>
    <cellStyle name="Suma 2 13 27 3" xfId="30393"/>
    <cellStyle name="Suma 2 13 28" xfId="30394"/>
    <cellStyle name="Suma 2 13 28 2" xfId="30395"/>
    <cellStyle name="Suma 2 13 28 3" xfId="30396"/>
    <cellStyle name="Suma 2 13 29" xfId="30397"/>
    <cellStyle name="Suma 2 13 29 2" xfId="30398"/>
    <cellStyle name="Suma 2 13 29 3" xfId="30399"/>
    <cellStyle name="Suma 2 13 3" xfId="30400"/>
    <cellStyle name="Suma 2 13 3 2" xfId="30401"/>
    <cellStyle name="Suma 2 13 3 3" xfId="30402"/>
    <cellStyle name="Suma 2 13 3 4" xfId="30403"/>
    <cellStyle name="Suma 2 13 30" xfId="30404"/>
    <cellStyle name="Suma 2 13 30 2" xfId="30405"/>
    <cellStyle name="Suma 2 13 30 3" xfId="30406"/>
    <cellStyle name="Suma 2 13 31" xfId="30407"/>
    <cellStyle name="Suma 2 13 31 2" xfId="30408"/>
    <cellStyle name="Suma 2 13 31 3" xfId="30409"/>
    <cellStyle name="Suma 2 13 32" xfId="30410"/>
    <cellStyle name="Suma 2 13 32 2" xfId="30411"/>
    <cellStyle name="Suma 2 13 32 3" xfId="30412"/>
    <cellStyle name="Suma 2 13 33" xfId="30413"/>
    <cellStyle name="Suma 2 13 33 2" xfId="30414"/>
    <cellStyle name="Suma 2 13 33 3" xfId="30415"/>
    <cellStyle name="Suma 2 13 34" xfId="30416"/>
    <cellStyle name="Suma 2 13 34 2" xfId="30417"/>
    <cellStyle name="Suma 2 13 34 3" xfId="30418"/>
    <cellStyle name="Suma 2 13 35" xfId="30419"/>
    <cellStyle name="Suma 2 13 35 2" xfId="30420"/>
    <cellStyle name="Suma 2 13 35 3" xfId="30421"/>
    <cellStyle name="Suma 2 13 36" xfId="30422"/>
    <cellStyle name="Suma 2 13 36 2" xfId="30423"/>
    <cellStyle name="Suma 2 13 36 3" xfId="30424"/>
    <cellStyle name="Suma 2 13 37" xfId="30425"/>
    <cellStyle name="Suma 2 13 37 2" xfId="30426"/>
    <cellStyle name="Suma 2 13 37 3" xfId="30427"/>
    <cellStyle name="Suma 2 13 38" xfId="30428"/>
    <cellStyle name="Suma 2 13 38 2" xfId="30429"/>
    <cellStyle name="Suma 2 13 38 3" xfId="30430"/>
    <cellStyle name="Suma 2 13 39" xfId="30431"/>
    <cellStyle name="Suma 2 13 39 2" xfId="30432"/>
    <cellStyle name="Suma 2 13 39 3" xfId="30433"/>
    <cellStyle name="Suma 2 13 4" xfId="30434"/>
    <cellStyle name="Suma 2 13 4 2" xfId="30435"/>
    <cellStyle name="Suma 2 13 4 3" xfId="30436"/>
    <cellStyle name="Suma 2 13 4 4" xfId="30437"/>
    <cellStyle name="Suma 2 13 40" xfId="30438"/>
    <cellStyle name="Suma 2 13 40 2" xfId="30439"/>
    <cellStyle name="Suma 2 13 40 3" xfId="30440"/>
    <cellStyle name="Suma 2 13 41" xfId="30441"/>
    <cellStyle name="Suma 2 13 41 2" xfId="30442"/>
    <cellStyle name="Suma 2 13 41 3" xfId="30443"/>
    <cellStyle name="Suma 2 13 42" xfId="30444"/>
    <cellStyle name="Suma 2 13 42 2" xfId="30445"/>
    <cellStyle name="Suma 2 13 42 3" xfId="30446"/>
    <cellStyle name="Suma 2 13 43" xfId="30447"/>
    <cellStyle name="Suma 2 13 43 2" xfId="30448"/>
    <cellStyle name="Suma 2 13 43 3" xfId="30449"/>
    <cellStyle name="Suma 2 13 44" xfId="30450"/>
    <cellStyle name="Suma 2 13 44 2" xfId="30451"/>
    <cellStyle name="Suma 2 13 44 3" xfId="30452"/>
    <cellStyle name="Suma 2 13 45" xfId="30453"/>
    <cellStyle name="Suma 2 13 45 2" xfId="30454"/>
    <cellStyle name="Suma 2 13 45 3" xfId="30455"/>
    <cellStyle name="Suma 2 13 46" xfId="30456"/>
    <cellStyle name="Suma 2 13 46 2" xfId="30457"/>
    <cellStyle name="Suma 2 13 46 3" xfId="30458"/>
    <cellStyle name="Suma 2 13 47" xfId="30459"/>
    <cellStyle name="Suma 2 13 47 2" xfId="30460"/>
    <cellStyle name="Suma 2 13 47 3" xfId="30461"/>
    <cellStyle name="Suma 2 13 48" xfId="30462"/>
    <cellStyle name="Suma 2 13 48 2" xfId="30463"/>
    <cellStyle name="Suma 2 13 48 3" xfId="30464"/>
    <cellStyle name="Suma 2 13 49" xfId="30465"/>
    <cellStyle name="Suma 2 13 49 2" xfId="30466"/>
    <cellStyle name="Suma 2 13 49 3" xfId="30467"/>
    <cellStyle name="Suma 2 13 5" xfId="30468"/>
    <cellStyle name="Suma 2 13 5 2" xfId="30469"/>
    <cellStyle name="Suma 2 13 5 3" xfId="30470"/>
    <cellStyle name="Suma 2 13 5 4" xfId="30471"/>
    <cellStyle name="Suma 2 13 50" xfId="30472"/>
    <cellStyle name="Suma 2 13 50 2" xfId="30473"/>
    <cellStyle name="Suma 2 13 50 3" xfId="30474"/>
    <cellStyle name="Suma 2 13 51" xfId="30475"/>
    <cellStyle name="Suma 2 13 51 2" xfId="30476"/>
    <cellStyle name="Suma 2 13 51 3" xfId="30477"/>
    <cellStyle name="Suma 2 13 52" xfId="30478"/>
    <cellStyle name="Suma 2 13 52 2" xfId="30479"/>
    <cellStyle name="Suma 2 13 52 3" xfId="30480"/>
    <cellStyle name="Suma 2 13 53" xfId="30481"/>
    <cellStyle name="Suma 2 13 53 2" xfId="30482"/>
    <cellStyle name="Suma 2 13 53 3" xfId="30483"/>
    <cellStyle name="Suma 2 13 54" xfId="30484"/>
    <cellStyle name="Suma 2 13 54 2" xfId="30485"/>
    <cellStyle name="Suma 2 13 54 3" xfId="30486"/>
    <cellStyle name="Suma 2 13 55" xfId="30487"/>
    <cellStyle name="Suma 2 13 55 2" xfId="30488"/>
    <cellStyle name="Suma 2 13 55 3" xfId="30489"/>
    <cellStyle name="Suma 2 13 56" xfId="30490"/>
    <cellStyle name="Suma 2 13 56 2" xfId="30491"/>
    <cellStyle name="Suma 2 13 56 3" xfId="30492"/>
    <cellStyle name="Suma 2 13 57" xfId="30493"/>
    <cellStyle name="Suma 2 13 58" xfId="30494"/>
    <cellStyle name="Suma 2 13 6" xfId="30495"/>
    <cellStyle name="Suma 2 13 6 2" xfId="30496"/>
    <cellStyle name="Suma 2 13 6 3" xfId="30497"/>
    <cellStyle name="Suma 2 13 6 4" xfId="30498"/>
    <cellStyle name="Suma 2 13 7" xfId="30499"/>
    <cellStyle name="Suma 2 13 7 2" xfId="30500"/>
    <cellStyle name="Suma 2 13 7 3" xfId="30501"/>
    <cellStyle name="Suma 2 13 7 4" xfId="30502"/>
    <cellStyle name="Suma 2 13 8" xfId="30503"/>
    <cellStyle name="Suma 2 13 8 2" xfId="30504"/>
    <cellStyle name="Suma 2 13 8 3" xfId="30505"/>
    <cellStyle name="Suma 2 13 8 4" xfId="30506"/>
    <cellStyle name="Suma 2 13 9" xfId="30507"/>
    <cellStyle name="Suma 2 13 9 2" xfId="30508"/>
    <cellStyle name="Suma 2 13 9 3" xfId="30509"/>
    <cellStyle name="Suma 2 13 9 4" xfId="30510"/>
    <cellStyle name="Suma 2 14" xfId="30511"/>
    <cellStyle name="Suma 2 14 10" xfId="30512"/>
    <cellStyle name="Suma 2 14 10 2" xfId="30513"/>
    <cellStyle name="Suma 2 14 10 3" xfId="30514"/>
    <cellStyle name="Suma 2 14 10 4" xfId="30515"/>
    <cellStyle name="Suma 2 14 11" xfId="30516"/>
    <cellStyle name="Suma 2 14 11 2" xfId="30517"/>
    <cellStyle name="Suma 2 14 11 3" xfId="30518"/>
    <cellStyle name="Suma 2 14 11 4" xfId="30519"/>
    <cellStyle name="Suma 2 14 12" xfId="30520"/>
    <cellStyle name="Suma 2 14 12 2" xfId="30521"/>
    <cellStyle name="Suma 2 14 12 3" xfId="30522"/>
    <cellStyle name="Suma 2 14 12 4" xfId="30523"/>
    <cellStyle name="Suma 2 14 13" xfId="30524"/>
    <cellStyle name="Suma 2 14 13 2" xfId="30525"/>
    <cellStyle name="Suma 2 14 13 3" xfId="30526"/>
    <cellStyle name="Suma 2 14 13 4" xfId="30527"/>
    <cellStyle name="Suma 2 14 14" xfId="30528"/>
    <cellStyle name="Suma 2 14 14 2" xfId="30529"/>
    <cellStyle name="Suma 2 14 14 3" xfId="30530"/>
    <cellStyle name="Suma 2 14 14 4" xfId="30531"/>
    <cellStyle name="Suma 2 14 15" xfId="30532"/>
    <cellStyle name="Suma 2 14 15 2" xfId="30533"/>
    <cellStyle name="Suma 2 14 15 3" xfId="30534"/>
    <cellStyle name="Suma 2 14 15 4" xfId="30535"/>
    <cellStyle name="Suma 2 14 16" xfId="30536"/>
    <cellStyle name="Suma 2 14 16 2" xfId="30537"/>
    <cellStyle name="Suma 2 14 16 3" xfId="30538"/>
    <cellStyle name="Suma 2 14 16 4" xfId="30539"/>
    <cellStyle name="Suma 2 14 17" xfId="30540"/>
    <cellStyle name="Suma 2 14 17 2" xfId="30541"/>
    <cellStyle name="Suma 2 14 17 3" xfId="30542"/>
    <cellStyle name="Suma 2 14 17 4" xfId="30543"/>
    <cellStyle name="Suma 2 14 18" xfId="30544"/>
    <cellStyle name="Suma 2 14 18 2" xfId="30545"/>
    <cellStyle name="Suma 2 14 18 3" xfId="30546"/>
    <cellStyle name="Suma 2 14 18 4" xfId="30547"/>
    <cellStyle name="Suma 2 14 19" xfId="30548"/>
    <cellStyle name="Suma 2 14 19 2" xfId="30549"/>
    <cellStyle name="Suma 2 14 19 3" xfId="30550"/>
    <cellStyle name="Suma 2 14 19 4" xfId="30551"/>
    <cellStyle name="Suma 2 14 2" xfId="30552"/>
    <cellStyle name="Suma 2 14 2 2" xfId="30553"/>
    <cellStyle name="Suma 2 14 2 3" xfId="30554"/>
    <cellStyle name="Suma 2 14 2 4" xfId="30555"/>
    <cellStyle name="Suma 2 14 20" xfId="30556"/>
    <cellStyle name="Suma 2 14 20 2" xfId="30557"/>
    <cellStyle name="Suma 2 14 20 3" xfId="30558"/>
    <cellStyle name="Suma 2 14 20 4" xfId="30559"/>
    <cellStyle name="Suma 2 14 21" xfId="30560"/>
    <cellStyle name="Suma 2 14 21 2" xfId="30561"/>
    <cellStyle name="Suma 2 14 21 3" xfId="30562"/>
    <cellStyle name="Suma 2 14 22" xfId="30563"/>
    <cellStyle name="Suma 2 14 22 2" xfId="30564"/>
    <cellStyle name="Suma 2 14 22 3" xfId="30565"/>
    <cellStyle name="Suma 2 14 23" xfId="30566"/>
    <cellStyle name="Suma 2 14 23 2" xfId="30567"/>
    <cellStyle name="Suma 2 14 23 3" xfId="30568"/>
    <cellStyle name="Suma 2 14 24" xfId="30569"/>
    <cellStyle name="Suma 2 14 24 2" xfId="30570"/>
    <cellStyle name="Suma 2 14 24 3" xfId="30571"/>
    <cellStyle name="Suma 2 14 25" xfId="30572"/>
    <cellStyle name="Suma 2 14 25 2" xfId="30573"/>
    <cellStyle name="Suma 2 14 25 3" xfId="30574"/>
    <cellStyle name="Suma 2 14 26" xfId="30575"/>
    <cellStyle name="Suma 2 14 26 2" xfId="30576"/>
    <cellStyle name="Suma 2 14 26 3" xfId="30577"/>
    <cellStyle name="Suma 2 14 27" xfId="30578"/>
    <cellStyle name="Suma 2 14 27 2" xfId="30579"/>
    <cellStyle name="Suma 2 14 27 3" xfId="30580"/>
    <cellStyle name="Suma 2 14 28" xfId="30581"/>
    <cellStyle name="Suma 2 14 28 2" xfId="30582"/>
    <cellStyle name="Suma 2 14 28 3" xfId="30583"/>
    <cellStyle name="Suma 2 14 29" xfId="30584"/>
    <cellStyle name="Suma 2 14 29 2" xfId="30585"/>
    <cellStyle name="Suma 2 14 29 3" xfId="30586"/>
    <cellStyle name="Suma 2 14 3" xfId="30587"/>
    <cellStyle name="Suma 2 14 3 2" xfId="30588"/>
    <cellStyle name="Suma 2 14 3 3" xfId="30589"/>
    <cellStyle name="Suma 2 14 3 4" xfId="30590"/>
    <cellStyle name="Suma 2 14 30" xfId="30591"/>
    <cellStyle name="Suma 2 14 30 2" xfId="30592"/>
    <cellStyle name="Suma 2 14 30 3" xfId="30593"/>
    <cellStyle name="Suma 2 14 31" xfId="30594"/>
    <cellStyle name="Suma 2 14 31 2" xfId="30595"/>
    <cellStyle name="Suma 2 14 31 3" xfId="30596"/>
    <cellStyle name="Suma 2 14 32" xfId="30597"/>
    <cellStyle name="Suma 2 14 32 2" xfId="30598"/>
    <cellStyle name="Suma 2 14 32 3" xfId="30599"/>
    <cellStyle name="Suma 2 14 33" xfId="30600"/>
    <cellStyle name="Suma 2 14 33 2" xfId="30601"/>
    <cellStyle name="Suma 2 14 33 3" xfId="30602"/>
    <cellStyle name="Suma 2 14 34" xfId="30603"/>
    <cellStyle name="Suma 2 14 34 2" xfId="30604"/>
    <cellStyle name="Suma 2 14 34 3" xfId="30605"/>
    <cellStyle name="Suma 2 14 35" xfId="30606"/>
    <cellStyle name="Suma 2 14 35 2" xfId="30607"/>
    <cellStyle name="Suma 2 14 35 3" xfId="30608"/>
    <cellStyle name="Suma 2 14 36" xfId="30609"/>
    <cellStyle name="Suma 2 14 36 2" xfId="30610"/>
    <cellStyle name="Suma 2 14 36 3" xfId="30611"/>
    <cellStyle name="Suma 2 14 37" xfId="30612"/>
    <cellStyle name="Suma 2 14 37 2" xfId="30613"/>
    <cellStyle name="Suma 2 14 37 3" xfId="30614"/>
    <cellStyle name="Suma 2 14 38" xfId="30615"/>
    <cellStyle name="Suma 2 14 38 2" xfId="30616"/>
    <cellStyle name="Suma 2 14 38 3" xfId="30617"/>
    <cellStyle name="Suma 2 14 39" xfId="30618"/>
    <cellStyle name="Suma 2 14 39 2" xfId="30619"/>
    <cellStyle name="Suma 2 14 39 3" xfId="30620"/>
    <cellStyle name="Suma 2 14 4" xfId="30621"/>
    <cellStyle name="Suma 2 14 4 2" xfId="30622"/>
    <cellStyle name="Suma 2 14 4 3" xfId="30623"/>
    <cellStyle name="Suma 2 14 4 4" xfId="30624"/>
    <cellStyle name="Suma 2 14 40" xfId="30625"/>
    <cellStyle name="Suma 2 14 40 2" xfId="30626"/>
    <cellStyle name="Suma 2 14 40 3" xfId="30627"/>
    <cellStyle name="Suma 2 14 41" xfId="30628"/>
    <cellStyle name="Suma 2 14 41 2" xfId="30629"/>
    <cellStyle name="Suma 2 14 41 3" xfId="30630"/>
    <cellStyle name="Suma 2 14 42" xfId="30631"/>
    <cellStyle name="Suma 2 14 42 2" xfId="30632"/>
    <cellStyle name="Suma 2 14 42 3" xfId="30633"/>
    <cellStyle name="Suma 2 14 43" xfId="30634"/>
    <cellStyle name="Suma 2 14 43 2" xfId="30635"/>
    <cellStyle name="Suma 2 14 43 3" xfId="30636"/>
    <cellStyle name="Suma 2 14 44" xfId="30637"/>
    <cellStyle name="Suma 2 14 44 2" xfId="30638"/>
    <cellStyle name="Suma 2 14 44 3" xfId="30639"/>
    <cellStyle name="Suma 2 14 45" xfId="30640"/>
    <cellStyle name="Suma 2 14 45 2" xfId="30641"/>
    <cellStyle name="Suma 2 14 45 3" xfId="30642"/>
    <cellStyle name="Suma 2 14 46" xfId="30643"/>
    <cellStyle name="Suma 2 14 46 2" xfId="30644"/>
    <cellStyle name="Suma 2 14 46 3" xfId="30645"/>
    <cellStyle name="Suma 2 14 47" xfId="30646"/>
    <cellStyle name="Suma 2 14 47 2" xfId="30647"/>
    <cellStyle name="Suma 2 14 47 3" xfId="30648"/>
    <cellStyle name="Suma 2 14 48" xfId="30649"/>
    <cellStyle name="Suma 2 14 48 2" xfId="30650"/>
    <cellStyle name="Suma 2 14 48 3" xfId="30651"/>
    <cellStyle name="Suma 2 14 49" xfId="30652"/>
    <cellStyle name="Suma 2 14 49 2" xfId="30653"/>
    <cellStyle name="Suma 2 14 49 3" xfId="30654"/>
    <cellStyle name="Suma 2 14 5" xfId="30655"/>
    <cellStyle name="Suma 2 14 5 2" xfId="30656"/>
    <cellStyle name="Suma 2 14 5 3" xfId="30657"/>
    <cellStyle name="Suma 2 14 5 4" xfId="30658"/>
    <cellStyle name="Suma 2 14 50" xfId="30659"/>
    <cellStyle name="Suma 2 14 50 2" xfId="30660"/>
    <cellStyle name="Suma 2 14 50 3" xfId="30661"/>
    <cellStyle name="Suma 2 14 51" xfId="30662"/>
    <cellStyle name="Suma 2 14 51 2" xfId="30663"/>
    <cellStyle name="Suma 2 14 51 3" xfId="30664"/>
    <cellStyle name="Suma 2 14 52" xfId="30665"/>
    <cellStyle name="Suma 2 14 52 2" xfId="30666"/>
    <cellStyle name="Suma 2 14 52 3" xfId="30667"/>
    <cellStyle name="Suma 2 14 53" xfId="30668"/>
    <cellStyle name="Suma 2 14 53 2" xfId="30669"/>
    <cellStyle name="Suma 2 14 53 3" xfId="30670"/>
    <cellStyle name="Suma 2 14 54" xfId="30671"/>
    <cellStyle name="Suma 2 14 54 2" xfId="30672"/>
    <cellStyle name="Suma 2 14 54 3" xfId="30673"/>
    <cellStyle name="Suma 2 14 55" xfId="30674"/>
    <cellStyle name="Suma 2 14 55 2" xfId="30675"/>
    <cellStyle name="Suma 2 14 55 3" xfId="30676"/>
    <cellStyle name="Suma 2 14 56" xfId="30677"/>
    <cellStyle name="Suma 2 14 56 2" xfId="30678"/>
    <cellStyle name="Suma 2 14 56 3" xfId="30679"/>
    <cellStyle name="Suma 2 14 57" xfId="30680"/>
    <cellStyle name="Suma 2 14 58" xfId="30681"/>
    <cellStyle name="Suma 2 14 6" xfId="30682"/>
    <cellStyle name="Suma 2 14 6 2" xfId="30683"/>
    <cellStyle name="Suma 2 14 6 3" xfId="30684"/>
    <cellStyle name="Suma 2 14 6 4" xfId="30685"/>
    <cellStyle name="Suma 2 14 7" xfId="30686"/>
    <cellStyle name="Suma 2 14 7 2" xfId="30687"/>
    <cellStyle name="Suma 2 14 7 3" xfId="30688"/>
    <cellStyle name="Suma 2 14 7 4" xfId="30689"/>
    <cellStyle name="Suma 2 14 8" xfId="30690"/>
    <cellStyle name="Suma 2 14 8 2" xfId="30691"/>
    <cellStyle name="Suma 2 14 8 3" xfId="30692"/>
    <cellStyle name="Suma 2 14 8 4" xfId="30693"/>
    <cellStyle name="Suma 2 14 9" xfId="30694"/>
    <cellStyle name="Suma 2 14 9 2" xfId="30695"/>
    <cellStyle name="Suma 2 14 9 3" xfId="30696"/>
    <cellStyle name="Suma 2 14 9 4" xfId="30697"/>
    <cellStyle name="Suma 2 15" xfId="30698"/>
    <cellStyle name="Suma 2 15 10" xfId="30699"/>
    <cellStyle name="Suma 2 15 10 2" xfId="30700"/>
    <cellStyle name="Suma 2 15 10 3" xfId="30701"/>
    <cellStyle name="Suma 2 15 10 4" xfId="30702"/>
    <cellStyle name="Suma 2 15 11" xfId="30703"/>
    <cellStyle name="Suma 2 15 11 2" xfId="30704"/>
    <cellStyle name="Suma 2 15 11 3" xfId="30705"/>
    <cellStyle name="Suma 2 15 11 4" xfId="30706"/>
    <cellStyle name="Suma 2 15 12" xfId="30707"/>
    <cellStyle name="Suma 2 15 12 2" xfId="30708"/>
    <cellStyle name="Suma 2 15 12 3" xfId="30709"/>
    <cellStyle name="Suma 2 15 12 4" xfId="30710"/>
    <cellStyle name="Suma 2 15 13" xfId="30711"/>
    <cellStyle name="Suma 2 15 13 2" xfId="30712"/>
    <cellStyle name="Suma 2 15 13 3" xfId="30713"/>
    <cellStyle name="Suma 2 15 13 4" xfId="30714"/>
    <cellStyle name="Suma 2 15 14" xfId="30715"/>
    <cellStyle name="Suma 2 15 14 2" xfId="30716"/>
    <cellStyle name="Suma 2 15 14 3" xfId="30717"/>
    <cellStyle name="Suma 2 15 14 4" xfId="30718"/>
    <cellStyle name="Suma 2 15 15" xfId="30719"/>
    <cellStyle name="Suma 2 15 15 2" xfId="30720"/>
    <cellStyle name="Suma 2 15 15 3" xfId="30721"/>
    <cellStyle name="Suma 2 15 15 4" xfId="30722"/>
    <cellStyle name="Suma 2 15 16" xfId="30723"/>
    <cellStyle name="Suma 2 15 16 2" xfId="30724"/>
    <cellStyle name="Suma 2 15 16 3" xfId="30725"/>
    <cellStyle name="Suma 2 15 16 4" xfId="30726"/>
    <cellStyle name="Suma 2 15 17" xfId="30727"/>
    <cellStyle name="Suma 2 15 17 2" xfId="30728"/>
    <cellStyle name="Suma 2 15 17 3" xfId="30729"/>
    <cellStyle name="Suma 2 15 17 4" xfId="30730"/>
    <cellStyle name="Suma 2 15 18" xfId="30731"/>
    <cellStyle name="Suma 2 15 18 2" xfId="30732"/>
    <cellStyle name="Suma 2 15 18 3" xfId="30733"/>
    <cellStyle name="Suma 2 15 18 4" xfId="30734"/>
    <cellStyle name="Suma 2 15 19" xfId="30735"/>
    <cellStyle name="Suma 2 15 19 2" xfId="30736"/>
    <cellStyle name="Suma 2 15 19 3" xfId="30737"/>
    <cellStyle name="Suma 2 15 19 4" xfId="30738"/>
    <cellStyle name="Suma 2 15 2" xfId="30739"/>
    <cellStyle name="Suma 2 15 2 2" xfId="30740"/>
    <cellStyle name="Suma 2 15 2 3" xfId="30741"/>
    <cellStyle name="Suma 2 15 2 4" xfId="30742"/>
    <cellStyle name="Suma 2 15 20" xfId="30743"/>
    <cellStyle name="Suma 2 15 20 2" xfId="30744"/>
    <cellStyle name="Suma 2 15 20 3" xfId="30745"/>
    <cellStyle name="Suma 2 15 20 4" xfId="30746"/>
    <cellStyle name="Suma 2 15 21" xfId="30747"/>
    <cellStyle name="Suma 2 15 21 2" xfId="30748"/>
    <cellStyle name="Suma 2 15 21 3" xfId="30749"/>
    <cellStyle name="Suma 2 15 22" xfId="30750"/>
    <cellStyle name="Suma 2 15 22 2" xfId="30751"/>
    <cellStyle name="Suma 2 15 22 3" xfId="30752"/>
    <cellStyle name="Suma 2 15 23" xfId="30753"/>
    <cellStyle name="Suma 2 15 23 2" xfId="30754"/>
    <cellStyle name="Suma 2 15 23 3" xfId="30755"/>
    <cellStyle name="Suma 2 15 24" xfId="30756"/>
    <cellStyle name="Suma 2 15 24 2" xfId="30757"/>
    <cellStyle name="Suma 2 15 24 3" xfId="30758"/>
    <cellStyle name="Suma 2 15 25" xfId="30759"/>
    <cellStyle name="Suma 2 15 25 2" xfId="30760"/>
    <cellStyle name="Suma 2 15 25 3" xfId="30761"/>
    <cellStyle name="Suma 2 15 26" xfId="30762"/>
    <cellStyle name="Suma 2 15 26 2" xfId="30763"/>
    <cellStyle name="Suma 2 15 26 3" xfId="30764"/>
    <cellStyle name="Suma 2 15 27" xfId="30765"/>
    <cellStyle name="Suma 2 15 27 2" xfId="30766"/>
    <cellStyle name="Suma 2 15 27 3" xfId="30767"/>
    <cellStyle name="Suma 2 15 28" xfId="30768"/>
    <cellStyle name="Suma 2 15 28 2" xfId="30769"/>
    <cellStyle name="Suma 2 15 28 3" xfId="30770"/>
    <cellStyle name="Suma 2 15 29" xfId="30771"/>
    <cellStyle name="Suma 2 15 29 2" xfId="30772"/>
    <cellStyle name="Suma 2 15 29 3" xfId="30773"/>
    <cellStyle name="Suma 2 15 3" xfId="30774"/>
    <cellStyle name="Suma 2 15 3 2" xfId="30775"/>
    <cellStyle name="Suma 2 15 3 3" xfId="30776"/>
    <cellStyle name="Suma 2 15 3 4" xfId="30777"/>
    <cellStyle name="Suma 2 15 30" xfId="30778"/>
    <cellStyle name="Suma 2 15 30 2" xfId="30779"/>
    <cellStyle name="Suma 2 15 30 3" xfId="30780"/>
    <cellStyle name="Suma 2 15 31" xfId="30781"/>
    <cellStyle name="Suma 2 15 31 2" xfId="30782"/>
    <cellStyle name="Suma 2 15 31 3" xfId="30783"/>
    <cellStyle name="Suma 2 15 32" xfId="30784"/>
    <cellStyle name="Suma 2 15 32 2" xfId="30785"/>
    <cellStyle name="Suma 2 15 32 3" xfId="30786"/>
    <cellStyle name="Suma 2 15 33" xfId="30787"/>
    <cellStyle name="Suma 2 15 33 2" xfId="30788"/>
    <cellStyle name="Suma 2 15 33 3" xfId="30789"/>
    <cellStyle name="Suma 2 15 34" xfId="30790"/>
    <cellStyle name="Suma 2 15 34 2" xfId="30791"/>
    <cellStyle name="Suma 2 15 34 3" xfId="30792"/>
    <cellStyle name="Suma 2 15 35" xfId="30793"/>
    <cellStyle name="Suma 2 15 35 2" xfId="30794"/>
    <cellStyle name="Suma 2 15 35 3" xfId="30795"/>
    <cellStyle name="Suma 2 15 36" xfId="30796"/>
    <cellStyle name="Suma 2 15 36 2" xfId="30797"/>
    <cellStyle name="Suma 2 15 36 3" xfId="30798"/>
    <cellStyle name="Suma 2 15 37" xfId="30799"/>
    <cellStyle name="Suma 2 15 37 2" xfId="30800"/>
    <cellStyle name="Suma 2 15 37 3" xfId="30801"/>
    <cellStyle name="Suma 2 15 38" xfId="30802"/>
    <cellStyle name="Suma 2 15 38 2" xfId="30803"/>
    <cellStyle name="Suma 2 15 38 3" xfId="30804"/>
    <cellStyle name="Suma 2 15 39" xfId="30805"/>
    <cellStyle name="Suma 2 15 39 2" xfId="30806"/>
    <cellStyle name="Suma 2 15 39 3" xfId="30807"/>
    <cellStyle name="Suma 2 15 4" xfId="30808"/>
    <cellStyle name="Suma 2 15 4 2" xfId="30809"/>
    <cellStyle name="Suma 2 15 4 3" xfId="30810"/>
    <cellStyle name="Suma 2 15 4 4" xfId="30811"/>
    <cellStyle name="Suma 2 15 40" xfId="30812"/>
    <cellStyle name="Suma 2 15 40 2" xfId="30813"/>
    <cellStyle name="Suma 2 15 40 3" xfId="30814"/>
    <cellStyle name="Suma 2 15 41" xfId="30815"/>
    <cellStyle name="Suma 2 15 41 2" xfId="30816"/>
    <cellStyle name="Suma 2 15 41 3" xfId="30817"/>
    <cellStyle name="Suma 2 15 42" xfId="30818"/>
    <cellStyle name="Suma 2 15 42 2" xfId="30819"/>
    <cellStyle name="Suma 2 15 42 3" xfId="30820"/>
    <cellStyle name="Suma 2 15 43" xfId="30821"/>
    <cellStyle name="Suma 2 15 43 2" xfId="30822"/>
    <cellStyle name="Suma 2 15 43 3" xfId="30823"/>
    <cellStyle name="Suma 2 15 44" xfId="30824"/>
    <cellStyle name="Suma 2 15 44 2" xfId="30825"/>
    <cellStyle name="Suma 2 15 44 3" xfId="30826"/>
    <cellStyle name="Suma 2 15 45" xfId="30827"/>
    <cellStyle name="Suma 2 15 45 2" xfId="30828"/>
    <cellStyle name="Suma 2 15 45 3" xfId="30829"/>
    <cellStyle name="Suma 2 15 46" xfId="30830"/>
    <cellStyle name="Suma 2 15 46 2" xfId="30831"/>
    <cellStyle name="Suma 2 15 46 3" xfId="30832"/>
    <cellStyle name="Suma 2 15 47" xfId="30833"/>
    <cellStyle name="Suma 2 15 47 2" xfId="30834"/>
    <cellStyle name="Suma 2 15 47 3" xfId="30835"/>
    <cellStyle name="Suma 2 15 48" xfId="30836"/>
    <cellStyle name="Suma 2 15 48 2" xfId="30837"/>
    <cellStyle name="Suma 2 15 48 3" xfId="30838"/>
    <cellStyle name="Suma 2 15 49" xfId="30839"/>
    <cellStyle name="Suma 2 15 49 2" xfId="30840"/>
    <cellStyle name="Suma 2 15 49 3" xfId="30841"/>
    <cellStyle name="Suma 2 15 5" xfId="30842"/>
    <cellStyle name="Suma 2 15 5 2" xfId="30843"/>
    <cellStyle name="Suma 2 15 5 3" xfId="30844"/>
    <cellStyle name="Suma 2 15 5 4" xfId="30845"/>
    <cellStyle name="Suma 2 15 50" xfId="30846"/>
    <cellStyle name="Suma 2 15 50 2" xfId="30847"/>
    <cellStyle name="Suma 2 15 50 3" xfId="30848"/>
    <cellStyle name="Suma 2 15 51" xfId="30849"/>
    <cellStyle name="Suma 2 15 51 2" xfId="30850"/>
    <cellStyle name="Suma 2 15 51 3" xfId="30851"/>
    <cellStyle name="Suma 2 15 52" xfId="30852"/>
    <cellStyle name="Suma 2 15 52 2" xfId="30853"/>
    <cellStyle name="Suma 2 15 52 3" xfId="30854"/>
    <cellStyle name="Suma 2 15 53" xfId="30855"/>
    <cellStyle name="Suma 2 15 53 2" xfId="30856"/>
    <cellStyle name="Suma 2 15 53 3" xfId="30857"/>
    <cellStyle name="Suma 2 15 54" xfId="30858"/>
    <cellStyle name="Suma 2 15 54 2" xfId="30859"/>
    <cellStyle name="Suma 2 15 54 3" xfId="30860"/>
    <cellStyle name="Suma 2 15 55" xfId="30861"/>
    <cellStyle name="Suma 2 15 55 2" xfId="30862"/>
    <cellStyle name="Suma 2 15 55 3" xfId="30863"/>
    <cellStyle name="Suma 2 15 56" xfId="30864"/>
    <cellStyle name="Suma 2 15 56 2" xfId="30865"/>
    <cellStyle name="Suma 2 15 56 3" xfId="30866"/>
    <cellStyle name="Suma 2 15 57" xfId="30867"/>
    <cellStyle name="Suma 2 15 58" xfId="30868"/>
    <cellStyle name="Suma 2 15 6" xfId="30869"/>
    <cellStyle name="Suma 2 15 6 2" xfId="30870"/>
    <cellStyle name="Suma 2 15 6 3" xfId="30871"/>
    <cellStyle name="Suma 2 15 6 4" xfId="30872"/>
    <cellStyle name="Suma 2 15 7" xfId="30873"/>
    <cellStyle name="Suma 2 15 7 2" xfId="30874"/>
    <cellStyle name="Suma 2 15 7 3" xfId="30875"/>
    <cellStyle name="Suma 2 15 7 4" xfId="30876"/>
    <cellStyle name="Suma 2 15 8" xfId="30877"/>
    <cellStyle name="Suma 2 15 8 2" xfId="30878"/>
    <cellStyle name="Suma 2 15 8 3" xfId="30879"/>
    <cellStyle name="Suma 2 15 8 4" xfId="30880"/>
    <cellStyle name="Suma 2 15 9" xfId="30881"/>
    <cellStyle name="Suma 2 15 9 2" xfId="30882"/>
    <cellStyle name="Suma 2 15 9 3" xfId="30883"/>
    <cellStyle name="Suma 2 15 9 4" xfId="30884"/>
    <cellStyle name="Suma 2 16" xfId="30885"/>
    <cellStyle name="Suma 2 16 10" xfId="30886"/>
    <cellStyle name="Suma 2 16 10 2" xfId="30887"/>
    <cellStyle name="Suma 2 16 10 3" xfId="30888"/>
    <cellStyle name="Suma 2 16 10 4" xfId="30889"/>
    <cellStyle name="Suma 2 16 11" xfId="30890"/>
    <cellStyle name="Suma 2 16 11 2" xfId="30891"/>
    <cellStyle name="Suma 2 16 11 3" xfId="30892"/>
    <cellStyle name="Suma 2 16 11 4" xfId="30893"/>
    <cellStyle name="Suma 2 16 12" xfId="30894"/>
    <cellStyle name="Suma 2 16 12 2" xfId="30895"/>
    <cellStyle name="Suma 2 16 12 3" xfId="30896"/>
    <cellStyle name="Suma 2 16 12 4" xfId="30897"/>
    <cellStyle name="Suma 2 16 13" xfId="30898"/>
    <cellStyle name="Suma 2 16 13 2" xfId="30899"/>
    <cellStyle name="Suma 2 16 13 3" xfId="30900"/>
    <cellStyle name="Suma 2 16 13 4" xfId="30901"/>
    <cellStyle name="Suma 2 16 14" xfId="30902"/>
    <cellStyle name="Suma 2 16 14 2" xfId="30903"/>
    <cellStyle name="Suma 2 16 14 3" xfId="30904"/>
    <cellStyle name="Suma 2 16 14 4" xfId="30905"/>
    <cellStyle name="Suma 2 16 15" xfId="30906"/>
    <cellStyle name="Suma 2 16 15 2" xfId="30907"/>
    <cellStyle name="Suma 2 16 15 3" xfId="30908"/>
    <cellStyle name="Suma 2 16 15 4" xfId="30909"/>
    <cellStyle name="Suma 2 16 16" xfId="30910"/>
    <cellStyle name="Suma 2 16 16 2" xfId="30911"/>
    <cellStyle name="Suma 2 16 16 3" xfId="30912"/>
    <cellStyle name="Suma 2 16 16 4" xfId="30913"/>
    <cellStyle name="Suma 2 16 17" xfId="30914"/>
    <cellStyle name="Suma 2 16 17 2" xfId="30915"/>
    <cellStyle name="Suma 2 16 17 3" xfId="30916"/>
    <cellStyle name="Suma 2 16 17 4" xfId="30917"/>
    <cellStyle name="Suma 2 16 18" xfId="30918"/>
    <cellStyle name="Suma 2 16 18 2" xfId="30919"/>
    <cellStyle name="Suma 2 16 18 3" xfId="30920"/>
    <cellStyle name="Suma 2 16 18 4" xfId="30921"/>
    <cellStyle name="Suma 2 16 19" xfId="30922"/>
    <cellStyle name="Suma 2 16 19 2" xfId="30923"/>
    <cellStyle name="Suma 2 16 19 3" xfId="30924"/>
    <cellStyle name="Suma 2 16 19 4" xfId="30925"/>
    <cellStyle name="Suma 2 16 2" xfId="30926"/>
    <cellStyle name="Suma 2 16 2 2" xfId="30927"/>
    <cellStyle name="Suma 2 16 2 3" xfId="30928"/>
    <cellStyle name="Suma 2 16 2 4" xfId="30929"/>
    <cellStyle name="Suma 2 16 20" xfId="30930"/>
    <cellStyle name="Suma 2 16 20 2" xfId="30931"/>
    <cellStyle name="Suma 2 16 20 3" xfId="30932"/>
    <cellStyle name="Suma 2 16 20 4" xfId="30933"/>
    <cellStyle name="Suma 2 16 21" xfId="30934"/>
    <cellStyle name="Suma 2 16 21 2" xfId="30935"/>
    <cellStyle name="Suma 2 16 21 3" xfId="30936"/>
    <cellStyle name="Suma 2 16 22" xfId="30937"/>
    <cellStyle name="Suma 2 16 22 2" xfId="30938"/>
    <cellStyle name="Suma 2 16 22 3" xfId="30939"/>
    <cellStyle name="Suma 2 16 23" xfId="30940"/>
    <cellStyle name="Suma 2 16 23 2" xfId="30941"/>
    <cellStyle name="Suma 2 16 23 3" xfId="30942"/>
    <cellStyle name="Suma 2 16 24" xfId="30943"/>
    <cellStyle name="Suma 2 16 24 2" xfId="30944"/>
    <cellStyle name="Suma 2 16 24 3" xfId="30945"/>
    <cellStyle name="Suma 2 16 25" xfId="30946"/>
    <cellStyle name="Suma 2 16 25 2" xfId="30947"/>
    <cellStyle name="Suma 2 16 25 3" xfId="30948"/>
    <cellStyle name="Suma 2 16 26" xfId="30949"/>
    <cellStyle name="Suma 2 16 26 2" xfId="30950"/>
    <cellStyle name="Suma 2 16 26 3" xfId="30951"/>
    <cellStyle name="Suma 2 16 27" xfId="30952"/>
    <cellStyle name="Suma 2 16 27 2" xfId="30953"/>
    <cellStyle name="Suma 2 16 27 3" xfId="30954"/>
    <cellStyle name="Suma 2 16 28" xfId="30955"/>
    <cellStyle name="Suma 2 16 28 2" xfId="30956"/>
    <cellStyle name="Suma 2 16 28 3" xfId="30957"/>
    <cellStyle name="Suma 2 16 29" xfId="30958"/>
    <cellStyle name="Suma 2 16 29 2" xfId="30959"/>
    <cellStyle name="Suma 2 16 29 3" xfId="30960"/>
    <cellStyle name="Suma 2 16 3" xfId="30961"/>
    <cellStyle name="Suma 2 16 3 2" xfId="30962"/>
    <cellStyle name="Suma 2 16 3 3" xfId="30963"/>
    <cellStyle name="Suma 2 16 3 4" xfId="30964"/>
    <cellStyle name="Suma 2 16 30" xfId="30965"/>
    <cellStyle name="Suma 2 16 30 2" xfId="30966"/>
    <cellStyle name="Suma 2 16 30 3" xfId="30967"/>
    <cellStyle name="Suma 2 16 31" xfId="30968"/>
    <cellStyle name="Suma 2 16 31 2" xfId="30969"/>
    <cellStyle name="Suma 2 16 31 3" xfId="30970"/>
    <cellStyle name="Suma 2 16 32" xfId="30971"/>
    <cellStyle name="Suma 2 16 32 2" xfId="30972"/>
    <cellStyle name="Suma 2 16 32 3" xfId="30973"/>
    <cellStyle name="Suma 2 16 33" xfId="30974"/>
    <cellStyle name="Suma 2 16 33 2" xfId="30975"/>
    <cellStyle name="Suma 2 16 33 3" xfId="30976"/>
    <cellStyle name="Suma 2 16 34" xfId="30977"/>
    <cellStyle name="Suma 2 16 34 2" xfId="30978"/>
    <cellStyle name="Suma 2 16 34 3" xfId="30979"/>
    <cellStyle name="Suma 2 16 35" xfId="30980"/>
    <cellStyle name="Suma 2 16 35 2" xfId="30981"/>
    <cellStyle name="Suma 2 16 35 3" xfId="30982"/>
    <cellStyle name="Suma 2 16 36" xfId="30983"/>
    <cellStyle name="Suma 2 16 36 2" xfId="30984"/>
    <cellStyle name="Suma 2 16 36 3" xfId="30985"/>
    <cellStyle name="Suma 2 16 37" xfId="30986"/>
    <cellStyle name="Suma 2 16 37 2" xfId="30987"/>
    <cellStyle name="Suma 2 16 37 3" xfId="30988"/>
    <cellStyle name="Suma 2 16 38" xfId="30989"/>
    <cellStyle name="Suma 2 16 38 2" xfId="30990"/>
    <cellStyle name="Suma 2 16 38 3" xfId="30991"/>
    <cellStyle name="Suma 2 16 39" xfId="30992"/>
    <cellStyle name="Suma 2 16 39 2" xfId="30993"/>
    <cellStyle name="Suma 2 16 39 3" xfId="30994"/>
    <cellStyle name="Suma 2 16 4" xfId="30995"/>
    <cellStyle name="Suma 2 16 4 2" xfId="30996"/>
    <cellStyle name="Suma 2 16 4 3" xfId="30997"/>
    <cellStyle name="Suma 2 16 4 4" xfId="30998"/>
    <cellStyle name="Suma 2 16 40" xfId="30999"/>
    <cellStyle name="Suma 2 16 40 2" xfId="31000"/>
    <cellStyle name="Suma 2 16 40 3" xfId="31001"/>
    <cellStyle name="Suma 2 16 41" xfId="31002"/>
    <cellStyle name="Suma 2 16 41 2" xfId="31003"/>
    <cellStyle name="Suma 2 16 41 3" xfId="31004"/>
    <cellStyle name="Suma 2 16 42" xfId="31005"/>
    <cellStyle name="Suma 2 16 42 2" xfId="31006"/>
    <cellStyle name="Suma 2 16 42 3" xfId="31007"/>
    <cellStyle name="Suma 2 16 43" xfId="31008"/>
    <cellStyle name="Suma 2 16 43 2" xfId="31009"/>
    <cellStyle name="Suma 2 16 43 3" xfId="31010"/>
    <cellStyle name="Suma 2 16 44" xfId="31011"/>
    <cellStyle name="Suma 2 16 44 2" xfId="31012"/>
    <cellStyle name="Suma 2 16 44 3" xfId="31013"/>
    <cellStyle name="Suma 2 16 45" xfId="31014"/>
    <cellStyle name="Suma 2 16 45 2" xfId="31015"/>
    <cellStyle name="Suma 2 16 45 3" xfId="31016"/>
    <cellStyle name="Suma 2 16 46" xfId="31017"/>
    <cellStyle name="Suma 2 16 46 2" xfId="31018"/>
    <cellStyle name="Suma 2 16 46 3" xfId="31019"/>
    <cellStyle name="Suma 2 16 47" xfId="31020"/>
    <cellStyle name="Suma 2 16 47 2" xfId="31021"/>
    <cellStyle name="Suma 2 16 47 3" xfId="31022"/>
    <cellStyle name="Suma 2 16 48" xfId="31023"/>
    <cellStyle name="Suma 2 16 48 2" xfId="31024"/>
    <cellStyle name="Suma 2 16 48 3" xfId="31025"/>
    <cellStyle name="Suma 2 16 49" xfId="31026"/>
    <cellStyle name="Suma 2 16 49 2" xfId="31027"/>
    <cellStyle name="Suma 2 16 49 3" xfId="31028"/>
    <cellStyle name="Suma 2 16 5" xfId="31029"/>
    <cellStyle name="Suma 2 16 5 2" xfId="31030"/>
    <cellStyle name="Suma 2 16 5 3" xfId="31031"/>
    <cellStyle name="Suma 2 16 5 4" xfId="31032"/>
    <cellStyle name="Suma 2 16 50" xfId="31033"/>
    <cellStyle name="Suma 2 16 50 2" xfId="31034"/>
    <cellStyle name="Suma 2 16 50 3" xfId="31035"/>
    <cellStyle name="Suma 2 16 51" xfId="31036"/>
    <cellStyle name="Suma 2 16 51 2" xfId="31037"/>
    <cellStyle name="Suma 2 16 51 3" xfId="31038"/>
    <cellStyle name="Suma 2 16 52" xfId="31039"/>
    <cellStyle name="Suma 2 16 52 2" xfId="31040"/>
    <cellStyle name="Suma 2 16 52 3" xfId="31041"/>
    <cellStyle name="Suma 2 16 53" xfId="31042"/>
    <cellStyle name="Suma 2 16 53 2" xfId="31043"/>
    <cellStyle name="Suma 2 16 53 3" xfId="31044"/>
    <cellStyle name="Suma 2 16 54" xfId="31045"/>
    <cellStyle name="Suma 2 16 54 2" xfId="31046"/>
    <cellStyle name="Suma 2 16 54 3" xfId="31047"/>
    <cellStyle name="Suma 2 16 55" xfId="31048"/>
    <cellStyle name="Suma 2 16 55 2" xfId="31049"/>
    <cellStyle name="Suma 2 16 55 3" xfId="31050"/>
    <cellStyle name="Suma 2 16 56" xfId="31051"/>
    <cellStyle name="Suma 2 16 56 2" xfId="31052"/>
    <cellStyle name="Suma 2 16 56 3" xfId="31053"/>
    <cellStyle name="Suma 2 16 57" xfId="31054"/>
    <cellStyle name="Suma 2 16 58" xfId="31055"/>
    <cellStyle name="Suma 2 16 6" xfId="31056"/>
    <cellStyle name="Suma 2 16 6 2" xfId="31057"/>
    <cellStyle name="Suma 2 16 6 3" xfId="31058"/>
    <cellStyle name="Suma 2 16 6 4" xfId="31059"/>
    <cellStyle name="Suma 2 16 7" xfId="31060"/>
    <cellStyle name="Suma 2 16 7 2" xfId="31061"/>
    <cellStyle name="Suma 2 16 7 3" xfId="31062"/>
    <cellStyle name="Suma 2 16 7 4" xfId="31063"/>
    <cellStyle name="Suma 2 16 8" xfId="31064"/>
    <cellStyle name="Suma 2 16 8 2" xfId="31065"/>
    <cellStyle name="Suma 2 16 8 3" xfId="31066"/>
    <cellStyle name="Suma 2 16 8 4" xfId="31067"/>
    <cellStyle name="Suma 2 16 9" xfId="31068"/>
    <cellStyle name="Suma 2 16 9 2" xfId="31069"/>
    <cellStyle name="Suma 2 16 9 3" xfId="31070"/>
    <cellStyle name="Suma 2 16 9 4" xfId="31071"/>
    <cellStyle name="Suma 2 17" xfId="31072"/>
    <cellStyle name="Suma 2 17 10" xfId="31073"/>
    <cellStyle name="Suma 2 17 10 2" xfId="31074"/>
    <cellStyle name="Suma 2 17 10 3" xfId="31075"/>
    <cellStyle name="Suma 2 17 10 4" xfId="31076"/>
    <cellStyle name="Suma 2 17 11" xfId="31077"/>
    <cellStyle name="Suma 2 17 11 2" xfId="31078"/>
    <cellStyle name="Suma 2 17 11 3" xfId="31079"/>
    <cellStyle name="Suma 2 17 11 4" xfId="31080"/>
    <cellStyle name="Suma 2 17 12" xfId="31081"/>
    <cellStyle name="Suma 2 17 12 2" xfId="31082"/>
    <cellStyle name="Suma 2 17 12 3" xfId="31083"/>
    <cellStyle name="Suma 2 17 12 4" xfId="31084"/>
    <cellStyle name="Suma 2 17 13" xfId="31085"/>
    <cellStyle name="Suma 2 17 13 2" xfId="31086"/>
    <cellStyle name="Suma 2 17 13 3" xfId="31087"/>
    <cellStyle name="Suma 2 17 13 4" xfId="31088"/>
    <cellStyle name="Suma 2 17 14" xfId="31089"/>
    <cellStyle name="Suma 2 17 14 2" xfId="31090"/>
    <cellStyle name="Suma 2 17 14 3" xfId="31091"/>
    <cellStyle name="Suma 2 17 14 4" xfId="31092"/>
    <cellStyle name="Suma 2 17 15" xfId="31093"/>
    <cellStyle name="Suma 2 17 15 2" xfId="31094"/>
    <cellStyle name="Suma 2 17 15 3" xfId="31095"/>
    <cellStyle name="Suma 2 17 15 4" xfId="31096"/>
    <cellStyle name="Suma 2 17 16" xfId="31097"/>
    <cellStyle name="Suma 2 17 16 2" xfId="31098"/>
    <cellStyle name="Suma 2 17 16 3" xfId="31099"/>
    <cellStyle name="Suma 2 17 16 4" xfId="31100"/>
    <cellStyle name="Suma 2 17 17" xfId="31101"/>
    <cellStyle name="Suma 2 17 17 2" xfId="31102"/>
    <cellStyle name="Suma 2 17 17 3" xfId="31103"/>
    <cellStyle name="Suma 2 17 17 4" xfId="31104"/>
    <cellStyle name="Suma 2 17 18" xfId="31105"/>
    <cellStyle name="Suma 2 17 18 2" xfId="31106"/>
    <cellStyle name="Suma 2 17 18 3" xfId="31107"/>
    <cellStyle name="Suma 2 17 18 4" xfId="31108"/>
    <cellStyle name="Suma 2 17 19" xfId="31109"/>
    <cellStyle name="Suma 2 17 19 2" xfId="31110"/>
    <cellStyle name="Suma 2 17 19 3" xfId="31111"/>
    <cellStyle name="Suma 2 17 19 4" xfId="31112"/>
    <cellStyle name="Suma 2 17 2" xfId="31113"/>
    <cellStyle name="Suma 2 17 2 2" xfId="31114"/>
    <cellStyle name="Suma 2 17 2 3" xfId="31115"/>
    <cellStyle name="Suma 2 17 2 4" xfId="31116"/>
    <cellStyle name="Suma 2 17 20" xfId="31117"/>
    <cellStyle name="Suma 2 17 20 2" xfId="31118"/>
    <cellStyle name="Suma 2 17 20 3" xfId="31119"/>
    <cellStyle name="Suma 2 17 20 4" xfId="31120"/>
    <cellStyle name="Suma 2 17 21" xfId="31121"/>
    <cellStyle name="Suma 2 17 21 2" xfId="31122"/>
    <cellStyle name="Suma 2 17 21 3" xfId="31123"/>
    <cellStyle name="Suma 2 17 22" xfId="31124"/>
    <cellStyle name="Suma 2 17 22 2" xfId="31125"/>
    <cellStyle name="Suma 2 17 22 3" xfId="31126"/>
    <cellStyle name="Suma 2 17 23" xfId="31127"/>
    <cellStyle name="Suma 2 17 23 2" xfId="31128"/>
    <cellStyle name="Suma 2 17 23 3" xfId="31129"/>
    <cellStyle name="Suma 2 17 24" xfId="31130"/>
    <cellStyle name="Suma 2 17 24 2" xfId="31131"/>
    <cellStyle name="Suma 2 17 24 3" xfId="31132"/>
    <cellStyle name="Suma 2 17 25" xfId="31133"/>
    <cellStyle name="Suma 2 17 25 2" xfId="31134"/>
    <cellStyle name="Suma 2 17 25 3" xfId="31135"/>
    <cellStyle name="Suma 2 17 26" xfId="31136"/>
    <cellStyle name="Suma 2 17 26 2" xfId="31137"/>
    <cellStyle name="Suma 2 17 26 3" xfId="31138"/>
    <cellStyle name="Suma 2 17 27" xfId="31139"/>
    <cellStyle name="Suma 2 17 27 2" xfId="31140"/>
    <cellStyle name="Suma 2 17 27 3" xfId="31141"/>
    <cellStyle name="Suma 2 17 28" xfId="31142"/>
    <cellStyle name="Suma 2 17 28 2" xfId="31143"/>
    <cellStyle name="Suma 2 17 28 3" xfId="31144"/>
    <cellStyle name="Suma 2 17 29" xfId="31145"/>
    <cellStyle name="Suma 2 17 29 2" xfId="31146"/>
    <cellStyle name="Suma 2 17 29 3" xfId="31147"/>
    <cellStyle name="Suma 2 17 3" xfId="31148"/>
    <cellStyle name="Suma 2 17 3 2" xfId="31149"/>
    <cellStyle name="Suma 2 17 3 3" xfId="31150"/>
    <cellStyle name="Suma 2 17 3 4" xfId="31151"/>
    <cellStyle name="Suma 2 17 30" xfId="31152"/>
    <cellStyle name="Suma 2 17 30 2" xfId="31153"/>
    <cellStyle name="Suma 2 17 30 3" xfId="31154"/>
    <cellStyle name="Suma 2 17 31" xfId="31155"/>
    <cellStyle name="Suma 2 17 31 2" xfId="31156"/>
    <cellStyle name="Suma 2 17 31 3" xfId="31157"/>
    <cellStyle name="Suma 2 17 32" xfId="31158"/>
    <cellStyle name="Suma 2 17 32 2" xfId="31159"/>
    <cellStyle name="Suma 2 17 32 3" xfId="31160"/>
    <cellStyle name="Suma 2 17 33" xfId="31161"/>
    <cellStyle name="Suma 2 17 33 2" xfId="31162"/>
    <cellStyle name="Suma 2 17 33 3" xfId="31163"/>
    <cellStyle name="Suma 2 17 34" xfId="31164"/>
    <cellStyle name="Suma 2 17 34 2" xfId="31165"/>
    <cellStyle name="Suma 2 17 34 3" xfId="31166"/>
    <cellStyle name="Suma 2 17 35" xfId="31167"/>
    <cellStyle name="Suma 2 17 35 2" xfId="31168"/>
    <cellStyle name="Suma 2 17 35 3" xfId="31169"/>
    <cellStyle name="Suma 2 17 36" xfId="31170"/>
    <cellStyle name="Suma 2 17 36 2" xfId="31171"/>
    <cellStyle name="Suma 2 17 36 3" xfId="31172"/>
    <cellStyle name="Suma 2 17 37" xfId="31173"/>
    <cellStyle name="Suma 2 17 37 2" xfId="31174"/>
    <cellStyle name="Suma 2 17 37 3" xfId="31175"/>
    <cellStyle name="Suma 2 17 38" xfId="31176"/>
    <cellStyle name="Suma 2 17 38 2" xfId="31177"/>
    <cellStyle name="Suma 2 17 38 3" xfId="31178"/>
    <cellStyle name="Suma 2 17 39" xfId="31179"/>
    <cellStyle name="Suma 2 17 39 2" xfId="31180"/>
    <cellStyle name="Suma 2 17 39 3" xfId="31181"/>
    <cellStyle name="Suma 2 17 4" xfId="31182"/>
    <cellStyle name="Suma 2 17 4 2" xfId="31183"/>
    <cellStyle name="Suma 2 17 4 3" xfId="31184"/>
    <cellStyle name="Suma 2 17 4 4" xfId="31185"/>
    <cellStyle name="Suma 2 17 40" xfId="31186"/>
    <cellStyle name="Suma 2 17 40 2" xfId="31187"/>
    <cellStyle name="Suma 2 17 40 3" xfId="31188"/>
    <cellStyle name="Suma 2 17 41" xfId="31189"/>
    <cellStyle name="Suma 2 17 41 2" xfId="31190"/>
    <cellStyle name="Suma 2 17 41 3" xfId="31191"/>
    <cellStyle name="Suma 2 17 42" xfId="31192"/>
    <cellStyle name="Suma 2 17 42 2" xfId="31193"/>
    <cellStyle name="Suma 2 17 42 3" xfId="31194"/>
    <cellStyle name="Suma 2 17 43" xfId="31195"/>
    <cellStyle name="Suma 2 17 43 2" xfId="31196"/>
    <cellStyle name="Suma 2 17 43 3" xfId="31197"/>
    <cellStyle name="Suma 2 17 44" xfId="31198"/>
    <cellStyle name="Suma 2 17 44 2" xfId="31199"/>
    <cellStyle name="Suma 2 17 44 3" xfId="31200"/>
    <cellStyle name="Suma 2 17 45" xfId="31201"/>
    <cellStyle name="Suma 2 17 45 2" xfId="31202"/>
    <cellStyle name="Suma 2 17 45 3" xfId="31203"/>
    <cellStyle name="Suma 2 17 46" xfId="31204"/>
    <cellStyle name="Suma 2 17 46 2" xfId="31205"/>
    <cellStyle name="Suma 2 17 46 3" xfId="31206"/>
    <cellStyle name="Suma 2 17 47" xfId="31207"/>
    <cellStyle name="Suma 2 17 47 2" xfId="31208"/>
    <cellStyle name="Suma 2 17 47 3" xfId="31209"/>
    <cellStyle name="Suma 2 17 48" xfId="31210"/>
    <cellStyle name="Suma 2 17 48 2" xfId="31211"/>
    <cellStyle name="Suma 2 17 48 3" xfId="31212"/>
    <cellStyle name="Suma 2 17 49" xfId="31213"/>
    <cellStyle name="Suma 2 17 49 2" xfId="31214"/>
    <cellStyle name="Suma 2 17 49 3" xfId="31215"/>
    <cellStyle name="Suma 2 17 5" xfId="31216"/>
    <cellStyle name="Suma 2 17 5 2" xfId="31217"/>
    <cellStyle name="Suma 2 17 5 3" xfId="31218"/>
    <cellStyle name="Suma 2 17 5 4" xfId="31219"/>
    <cellStyle name="Suma 2 17 50" xfId="31220"/>
    <cellStyle name="Suma 2 17 50 2" xfId="31221"/>
    <cellStyle name="Suma 2 17 50 3" xfId="31222"/>
    <cellStyle name="Suma 2 17 51" xfId="31223"/>
    <cellStyle name="Suma 2 17 51 2" xfId="31224"/>
    <cellStyle name="Suma 2 17 51 3" xfId="31225"/>
    <cellStyle name="Suma 2 17 52" xfId="31226"/>
    <cellStyle name="Suma 2 17 52 2" xfId="31227"/>
    <cellStyle name="Suma 2 17 52 3" xfId="31228"/>
    <cellStyle name="Suma 2 17 53" xfId="31229"/>
    <cellStyle name="Suma 2 17 53 2" xfId="31230"/>
    <cellStyle name="Suma 2 17 53 3" xfId="31231"/>
    <cellStyle name="Suma 2 17 54" xfId="31232"/>
    <cellStyle name="Suma 2 17 54 2" xfId="31233"/>
    <cellStyle name="Suma 2 17 54 3" xfId="31234"/>
    <cellStyle name="Suma 2 17 55" xfId="31235"/>
    <cellStyle name="Suma 2 17 55 2" xfId="31236"/>
    <cellStyle name="Suma 2 17 55 3" xfId="31237"/>
    <cellStyle name="Suma 2 17 56" xfId="31238"/>
    <cellStyle name="Suma 2 17 56 2" xfId="31239"/>
    <cellStyle name="Suma 2 17 56 3" xfId="31240"/>
    <cellStyle name="Suma 2 17 57" xfId="31241"/>
    <cellStyle name="Suma 2 17 58" xfId="31242"/>
    <cellStyle name="Suma 2 17 6" xfId="31243"/>
    <cellStyle name="Suma 2 17 6 2" xfId="31244"/>
    <cellStyle name="Suma 2 17 6 3" xfId="31245"/>
    <cellStyle name="Suma 2 17 6 4" xfId="31246"/>
    <cellStyle name="Suma 2 17 7" xfId="31247"/>
    <cellStyle name="Suma 2 17 7 2" xfId="31248"/>
    <cellStyle name="Suma 2 17 7 3" xfId="31249"/>
    <cellStyle name="Suma 2 17 7 4" xfId="31250"/>
    <cellStyle name="Suma 2 17 8" xfId="31251"/>
    <cellStyle name="Suma 2 17 8 2" xfId="31252"/>
    <cellStyle name="Suma 2 17 8 3" xfId="31253"/>
    <cellStyle name="Suma 2 17 8 4" xfId="31254"/>
    <cellStyle name="Suma 2 17 9" xfId="31255"/>
    <cellStyle name="Suma 2 17 9 2" xfId="31256"/>
    <cellStyle name="Suma 2 17 9 3" xfId="31257"/>
    <cellStyle name="Suma 2 17 9 4" xfId="31258"/>
    <cellStyle name="Suma 2 18" xfId="31259"/>
    <cellStyle name="Suma 2 18 10" xfId="31260"/>
    <cellStyle name="Suma 2 18 10 2" xfId="31261"/>
    <cellStyle name="Suma 2 18 10 3" xfId="31262"/>
    <cellStyle name="Suma 2 18 10 4" xfId="31263"/>
    <cellStyle name="Suma 2 18 11" xfId="31264"/>
    <cellStyle name="Suma 2 18 11 2" xfId="31265"/>
    <cellStyle name="Suma 2 18 11 3" xfId="31266"/>
    <cellStyle name="Suma 2 18 11 4" xfId="31267"/>
    <cellStyle name="Suma 2 18 12" xfId="31268"/>
    <cellStyle name="Suma 2 18 12 2" xfId="31269"/>
    <cellStyle name="Suma 2 18 12 3" xfId="31270"/>
    <cellStyle name="Suma 2 18 12 4" xfId="31271"/>
    <cellStyle name="Suma 2 18 13" xfId="31272"/>
    <cellStyle name="Suma 2 18 13 2" xfId="31273"/>
    <cellStyle name="Suma 2 18 13 3" xfId="31274"/>
    <cellStyle name="Suma 2 18 13 4" xfId="31275"/>
    <cellStyle name="Suma 2 18 14" xfId="31276"/>
    <cellStyle name="Suma 2 18 14 2" xfId="31277"/>
    <cellStyle name="Suma 2 18 14 3" xfId="31278"/>
    <cellStyle name="Suma 2 18 14 4" xfId="31279"/>
    <cellStyle name="Suma 2 18 15" xfId="31280"/>
    <cellStyle name="Suma 2 18 15 2" xfId="31281"/>
    <cellStyle name="Suma 2 18 15 3" xfId="31282"/>
    <cellStyle name="Suma 2 18 15 4" xfId="31283"/>
    <cellStyle name="Suma 2 18 16" xfId="31284"/>
    <cellStyle name="Suma 2 18 16 2" xfId="31285"/>
    <cellStyle name="Suma 2 18 16 3" xfId="31286"/>
    <cellStyle name="Suma 2 18 16 4" xfId="31287"/>
    <cellStyle name="Suma 2 18 17" xfId="31288"/>
    <cellStyle name="Suma 2 18 17 2" xfId="31289"/>
    <cellStyle name="Suma 2 18 17 3" xfId="31290"/>
    <cellStyle name="Suma 2 18 17 4" xfId="31291"/>
    <cellStyle name="Suma 2 18 18" xfId="31292"/>
    <cellStyle name="Suma 2 18 18 2" xfId="31293"/>
    <cellStyle name="Suma 2 18 18 3" xfId="31294"/>
    <cellStyle name="Suma 2 18 18 4" xfId="31295"/>
    <cellStyle name="Suma 2 18 19" xfId="31296"/>
    <cellStyle name="Suma 2 18 19 2" xfId="31297"/>
    <cellStyle name="Suma 2 18 19 3" xfId="31298"/>
    <cellStyle name="Suma 2 18 19 4" xfId="31299"/>
    <cellStyle name="Suma 2 18 2" xfId="31300"/>
    <cellStyle name="Suma 2 18 2 2" xfId="31301"/>
    <cellStyle name="Suma 2 18 2 3" xfId="31302"/>
    <cellStyle name="Suma 2 18 2 4" xfId="31303"/>
    <cellStyle name="Suma 2 18 20" xfId="31304"/>
    <cellStyle name="Suma 2 18 20 2" xfId="31305"/>
    <cellStyle name="Suma 2 18 20 3" xfId="31306"/>
    <cellStyle name="Suma 2 18 20 4" xfId="31307"/>
    <cellStyle name="Suma 2 18 21" xfId="31308"/>
    <cellStyle name="Suma 2 18 21 2" xfId="31309"/>
    <cellStyle name="Suma 2 18 21 3" xfId="31310"/>
    <cellStyle name="Suma 2 18 22" xfId="31311"/>
    <cellStyle name="Suma 2 18 22 2" xfId="31312"/>
    <cellStyle name="Suma 2 18 22 3" xfId="31313"/>
    <cellStyle name="Suma 2 18 23" xfId="31314"/>
    <cellStyle name="Suma 2 18 23 2" xfId="31315"/>
    <cellStyle name="Suma 2 18 23 3" xfId="31316"/>
    <cellStyle name="Suma 2 18 24" xfId="31317"/>
    <cellStyle name="Suma 2 18 24 2" xfId="31318"/>
    <cellStyle name="Suma 2 18 24 3" xfId="31319"/>
    <cellStyle name="Suma 2 18 25" xfId="31320"/>
    <cellStyle name="Suma 2 18 25 2" xfId="31321"/>
    <cellStyle name="Suma 2 18 25 3" xfId="31322"/>
    <cellStyle name="Suma 2 18 26" xfId="31323"/>
    <cellStyle name="Suma 2 18 26 2" xfId="31324"/>
    <cellStyle name="Suma 2 18 26 3" xfId="31325"/>
    <cellStyle name="Suma 2 18 27" xfId="31326"/>
    <cellStyle name="Suma 2 18 27 2" xfId="31327"/>
    <cellStyle name="Suma 2 18 27 3" xfId="31328"/>
    <cellStyle name="Suma 2 18 28" xfId="31329"/>
    <cellStyle name="Suma 2 18 28 2" xfId="31330"/>
    <cellStyle name="Suma 2 18 28 3" xfId="31331"/>
    <cellStyle name="Suma 2 18 29" xfId="31332"/>
    <cellStyle name="Suma 2 18 29 2" xfId="31333"/>
    <cellStyle name="Suma 2 18 29 3" xfId="31334"/>
    <cellStyle name="Suma 2 18 3" xfId="31335"/>
    <cellStyle name="Suma 2 18 3 2" xfId="31336"/>
    <cellStyle name="Suma 2 18 3 3" xfId="31337"/>
    <cellStyle name="Suma 2 18 3 4" xfId="31338"/>
    <cellStyle name="Suma 2 18 30" xfId="31339"/>
    <cellStyle name="Suma 2 18 30 2" xfId="31340"/>
    <cellStyle name="Suma 2 18 30 3" xfId="31341"/>
    <cellStyle name="Suma 2 18 31" xfId="31342"/>
    <cellStyle name="Suma 2 18 31 2" xfId="31343"/>
    <cellStyle name="Suma 2 18 31 3" xfId="31344"/>
    <cellStyle name="Suma 2 18 32" xfId="31345"/>
    <cellStyle name="Suma 2 18 32 2" xfId="31346"/>
    <cellStyle name="Suma 2 18 32 3" xfId="31347"/>
    <cellStyle name="Suma 2 18 33" xfId="31348"/>
    <cellStyle name="Suma 2 18 33 2" xfId="31349"/>
    <cellStyle name="Suma 2 18 33 3" xfId="31350"/>
    <cellStyle name="Suma 2 18 34" xfId="31351"/>
    <cellStyle name="Suma 2 18 34 2" xfId="31352"/>
    <cellStyle name="Suma 2 18 34 3" xfId="31353"/>
    <cellStyle name="Suma 2 18 35" xfId="31354"/>
    <cellStyle name="Suma 2 18 35 2" xfId="31355"/>
    <cellStyle name="Suma 2 18 35 3" xfId="31356"/>
    <cellStyle name="Suma 2 18 36" xfId="31357"/>
    <cellStyle name="Suma 2 18 36 2" xfId="31358"/>
    <cellStyle name="Suma 2 18 36 3" xfId="31359"/>
    <cellStyle name="Suma 2 18 37" xfId="31360"/>
    <cellStyle name="Suma 2 18 37 2" xfId="31361"/>
    <cellStyle name="Suma 2 18 37 3" xfId="31362"/>
    <cellStyle name="Suma 2 18 38" xfId="31363"/>
    <cellStyle name="Suma 2 18 38 2" xfId="31364"/>
    <cellStyle name="Suma 2 18 38 3" xfId="31365"/>
    <cellStyle name="Suma 2 18 39" xfId="31366"/>
    <cellStyle name="Suma 2 18 39 2" xfId="31367"/>
    <cellStyle name="Suma 2 18 39 3" xfId="31368"/>
    <cellStyle name="Suma 2 18 4" xfId="31369"/>
    <cellStyle name="Suma 2 18 4 2" xfId="31370"/>
    <cellStyle name="Suma 2 18 4 3" xfId="31371"/>
    <cellStyle name="Suma 2 18 4 4" xfId="31372"/>
    <cellStyle name="Suma 2 18 40" xfId="31373"/>
    <cellStyle name="Suma 2 18 40 2" xfId="31374"/>
    <cellStyle name="Suma 2 18 40 3" xfId="31375"/>
    <cellStyle name="Suma 2 18 41" xfId="31376"/>
    <cellStyle name="Suma 2 18 41 2" xfId="31377"/>
    <cellStyle name="Suma 2 18 41 3" xfId="31378"/>
    <cellStyle name="Suma 2 18 42" xfId="31379"/>
    <cellStyle name="Suma 2 18 42 2" xfId="31380"/>
    <cellStyle name="Suma 2 18 42 3" xfId="31381"/>
    <cellStyle name="Suma 2 18 43" xfId="31382"/>
    <cellStyle name="Suma 2 18 43 2" xfId="31383"/>
    <cellStyle name="Suma 2 18 43 3" xfId="31384"/>
    <cellStyle name="Suma 2 18 44" xfId="31385"/>
    <cellStyle name="Suma 2 18 44 2" xfId="31386"/>
    <cellStyle name="Suma 2 18 44 3" xfId="31387"/>
    <cellStyle name="Suma 2 18 45" xfId="31388"/>
    <cellStyle name="Suma 2 18 45 2" xfId="31389"/>
    <cellStyle name="Suma 2 18 45 3" xfId="31390"/>
    <cellStyle name="Suma 2 18 46" xfId="31391"/>
    <cellStyle name="Suma 2 18 46 2" xfId="31392"/>
    <cellStyle name="Suma 2 18 46 3" xfId="31393"/>
    <cellStyle name="Suma 2 18 47" xfId="31394"/>
    <cellStyle name="Suma 2 18 47 2" xfId="31395"/>
    <cellStyle name="Suma 2 18 47 3" xfId="31396"/>
    <cellStyle name="Suma 2 18 48" xfId="31397"/>
    <cellStyle name="Suma 2 18 48 2" xfId="31398"/>
    <cellStyle name="Suma 2 18 48 3" xfId="31399"/>
    <cellStyle name="Suma 2 18 49" xfId="31400"/>
    <cellStyle name="Suma 2 18 49 2" xfId="31401"/>
    <cellStyle name="Suma 2 18 49 3" xfId="31402"/>
    <cellStyle name="Suma 2 18 5" xfId="31403"/>
    <cellStyle name="Suma 2 18 5 2" xfId="31404"/>
    <cellStyle name="Suma 2 18 5 3" xfId="31405"/>
    <cellStyle name="Suma 2 18 5 4" xfId="31406"/>
    <cellStyle name="Suma 2 18 50" xfId="31407"/>
    <cellStyle name="Suma 2 18 50 2" xfId="31408"/>
    <cellStyle name="Suma 2 18 50 3" xfId="31409"/>
    <cellStyle name="Suma 2 18 51" xfId="31410"/>
    <cellStyle name="Suma 2 18 51 2" xfId="31411"/>
    <cellStyle name="Suma 2 18 51 3" xfId="31412"/>
    <cellStyle name="Suma 2 18 52" xfId="31413"/>
    <cellStyle name="Suma 2 18 52 2" xfId="31414"/>
    <cellStyle name="Suma 2 18 52 3" xfId="31415"/>
    <cellStyle name="Suma 2 18 53" xfId="31416"/>
    <cellStyle name="Suma 2 18 53 2" xfId="31417"/>
    <cellStyle name="Suma 2 18 53 3" xfId="31418"/>
    <cellStyle name="Suma 2 18 54" xfId="31419"/>
    <cellStyle name="Suma 2 18 54 2" xfId="31420"/>
    <cellStyle name="Suma 2 18 54 3" xfId="31421"/>
    <cellStyle name="Suma 2 18 55" xfId="31422"/>
    <cellStyle name="Suma 2 18 55 2" xfId="31423"/>
    <cellStyle name="Suma 2 18 55 3" xfId="31424"/>
    <cellStyle name="Suma 2 18 56" xfId="31425"/>
    <cellStyle name="Suma 2 18 56 2" xfId="31426"/>
    <cellStyle name="Suma 2 18 56 3" xfId="31427"/>
    <cellStyle name="Suma 2 18 57" xfId="31428"/>
    <cellStyle name="Suma 2 18 58" xfId="31429"/>
    <cellStyle name="Suma 2 18 6" xfId="31430"/>
    <cellStyle name="Suma 2 18 6 2" xfId="31431"/>
    <cellStyle name="Suma 2 18 6 3" xfId="31432"/>
    <cellStyle name="Suma 2 18 6 4" xfId="31433"/>
    <cellStyle name="Suma 2 18 7" xfId="31434"/>
    <cellStyle name="Suma 2 18 7 2" xfId="31435"/>
    <cellStyle name="Suma 2 18 7 3" xfId="31436"/>
    <cellStyle name="Suma 2 18 7 4" xfId="31437"/>
    <cellStyle name="Suma 2 18 8" xfId="31438"/>
    <cellStyle name="Suma 2 18 8 2" xfId="31439"/>
    <cellStyle name="Suma 2 18 8 3" xfId="31440"/>
    <cellStyle name="Suma 2 18 8 4" xfId="31441"/>
    <cellStyle name="Suma 2 18 9" xfId="31442"/>
    <cellStyle name="Suma 2 18 9 2" xfId="31443"/>
    <cellStyle name="Suma 2 18 9 3" xfId="31444"/>
    <cellStyle name="Suma 2 18 9 4" xfId="31445"/>
    <cellStyle name="Suma 2 19" xfId="31446"/>
    <cellStyle name="Suma 2 19 10" xfId="31447"/>
    <cellStyle name="Suma 2 19 10 2" xfId="31448"/>
    <cellStyle name="Suma 2 19 10 3" xfId="31449"/>
    <cellStyle name="Suma 2 19 10 4" xfId="31450"/>
    <cellStyle name="Suma 2 19 11" xfId="31451"/>
    <cellStyle name="Suma 2 19 11 2" xfId="31452"/>
    <cellStyle name="Suma 2 19 11 3" xfId="31453"/>
    <cellStyle name="Suma 2 19 11 4" xfId="31454"/>
    <cellStyle name="Suma 2 19 12" xfId="31455"/>
    <cellStyle name="Suma 2 19 12 2" xfId="31456"/>
    <cellStyle name="Suma 2 19 12 3" xfId="31457"/>
    <cellStyle name="Suma 2 19 12 4" xfId="31458"/>
    <cellStyle name="Suma 2 19 13" xfId="31459"/>
    <cellStyle name="Suma 2 19 13 2" xfId="31460"/>
    <cellStyle name="Suma 2 19 13 3" xfId="31461"/>
    <cellStyle name="Suma 2 19 13 4" xfId="31462"/>
    <cellStyle name="Suma 2 19 14" xfId="31463"/>
    <cellStyle name="Suma 2 19 14 2" xfId="31464"/>
    <cellStyle name="Suma 2 19 14 3" xfId="31465"/>
    <cellStyle name="Suma 2 19 14 4" xfId="31466"/>
    <cellStyle name="Suma 2 19 15" xfId="31467"/>
    <cellStyle name="Suma 2 19 15 2" xfId="31468"/>
    <cellStyle name="Suma 2 19 15 3" xfId="31469"/>
    <cellStyle name="Suma 2 19 15 4" xfId="31470"/>
    <cellStyle name="Suma 2 19 16" xfId="31471"/>
    <cellStyle name="Suma 2 19 16 2" xfId="31472"/>
    <cellStyle name="Suma 2 19 16 3" xfId="31473"/>
    <cellStyle name="Suma 2 19 16 4" xfId="31474"/>
    <cellStyle name="Suma 2 19 17" xfId="31475"/>
    <cellStyle name="Suma 2 19 17 2" xfId="31476"/>
    <cellStyle name="Suma 2 19 17 3" xfId="31477"/>
    <cellStyle name="Suma 2 19 17 4" xfId="31478"/>
    <cellStyle name="Suma 2 19 18" xfId="31479"/>
    <cellStyle name="Suma 2 19 18 2" xfId="31480"/>
    <cellStyle name="Suma 2 19 18 3" xfId="31481"/>
    <cellStyle name="Suma 2 19 18 4" xfId="31482"/>
    <cellStyle name="Suma 2 19 19" xfId="31483"/>
    <cellStyle name="Suma 2 19 19 2" xfId="31484"/>
    <cellStyle name="Suma 2 19 19 3" xfId="31485"/>
    <cellStyle name="Suma 2 19 19 4" xfId="31486"/>
    <cellStyle name="Suma 2 19 2" xfId="31487"/>
    <cellStyle name="Suma 2 19 2 2" xfId="31488"/>
    <cellStyle name="Suma 2 19 2 3" xfId="31489"/>
    <cellStyle name="Suma 2 19 2 4" xfId="31490"/>
    <cellStyle name="Suma 2 19 20" xfId="31491"/>
    <cellStyle name="Suma 2 19 20 2" xfId="31492"/>
    <cellStyle name="Suma 2 19 20 3" xfId="31493"/>
    <cellStyle name="Suma 2 19 20 4" xfId="31494"/>
    <cellStyle name="Suma 2 19 21" xfId="31495"/>
    <cellStyle name="Suma 2 19 21 2" xfId="31496"/>
    <cellStyle name="Suma 2 19 21 3" xfId="31497"/>
    <cellStyle name="Suma 2 19 22" xfId="31498"/>
    <cellStyle name="Suma 2 19 22 2" xfId="31499"/>
    <cellStyle name="Suma 2 19 22 3" xfId="31500"/>
    <cellStyle name="Suma 2 19 23" xfId="31501"/>
    <cellStyle name="Suma 2 19 23 2" xfId="31502"/>
    <cellStyle name="Suma 2 19 23 3" xfId="31503"/>
    <cellStyle name="Suma 2 19 24" xfId="31504"/>
    <cellStyle name="Suma 2 19 24 2" xfId="31505"/>
    <cellStyle name="Suma 2 19 24 3" xfId="31506"/>
    <cellStyle name="Suma 2 19 25" xfId="31507"/>
    <cellStyle name="Suma 2 19 25 2" xfId="31508"/>
    <cellStyle name="Suma 2 19 25 3" xfId="31509"/>
    <cellStyle name="Suma 2 19 26" xfId="31510"/>
    <cellStyle name="Suma 2 19 26 2" xfId="31511"/>
    <cellStyle name="Suma 2 19 26 3" xfId="31512"/>
    <cellStyle name="Suma 2 19 27" xfId="31513"/>
    <cellStyle name="Suma 2 19 27 2" xfId="31514"/>
    <cellStyle name="Suma 2 19 27 3" xfId="31515"/>
    <cellStyle name="Suma 2 19 28" xfId="31516"/>
    <cellStyle name="Suma 2 19 28 2" xfId="31517"/>
    <cellStyle name="Suma 2 19 28 3" xfId="31518"/>
    <cellStyle name="Suma 2 19 29" xfId="31519"/>
    <cellStyle name="Suma 2 19 29 2" xfId="31520"/>
    <cellStyle name="Suma 2 19 29 3" xfId="31521"/>
    <cellStyle name="Suma 2 19 3" xfId="31522"/>
    <cellStyle name="Suma 2 19 3 2" xfId="31523"/>
    <cellStyle name="Suma 2 19 3 3" xfId="31524"/>
    <cellStyle name="Suma 2 19 3 4" xfId="31525"/>
    <cellStyle name="Suma 2 19 30" xfId="31526"/>
    <cellStyle name="Suma 2 19 30 2" xfId="31527"/>
    <cellStyle name="Suma 2 19 30 3" xfId="31528"/>
    <cellStyle name="Suma 2 19 31" xfId="31529"/>
    <cellStyle name="Suma 2 19 31 2" xfId="31530"/>
    <cellStyle name="Suma 2 19 31 3" xfId="31531"/>
    <cellStyle name="Suma 2 19 32" xfId="31532"/>
    <cellStyle name="Suma 2 19 32 2" xfId="31533"/>
    <cellStyle name="Suma 2 19 32 3" xfId="31534"/>
    <cellStyle name="Suma 2 19 33" xfId="31535"/>
    <cellStyle name="Suma 2 19 33 2" xfId="31536"/>
    <cellStyle name="Suma 2 19 33 3" xfId="31537"/>
    <cellStyle name="Suma 2 19 34" xfId="31538"/>
    <cellStyle name="Suma 2 19 34 2" xfId="31539"/>
    <cellStyle name="Suma 2 19 34 3" xfId="31540"/>
    <cellStyle name="Suma 2 19 35" xfId="31541"/>
    <cellStyle name="Suma 2 19 35 2" xfId="31542"/>
    <cellStyle name="Suma 2 19 35 3" xfId="31543"/>
    <cellStyle name="Suma 2 19 36" xfId="31544"/>
    <cellStyle name="Suma 2 19 36 2" xfId="31545"/>
    <cellStyle name="Suma 2 19 36 3" xfId="31546"/>
    <cellStyle name="Suma 2 19 37" xfId="31547"/>
    <cellStyle name="Suma 2 19 37 2" xfId="31548"/>
    <cellStyle name="Suma 2 19 37 3" xfId="31549"/>
    <cellStyle name="Suma 2 19 38" xfId="31550"/>
    <cellStyle name="Suma 2 19 38 2" xfId="31551"/>
    <cellStyle name="Suma 2 19 38 3" xfId="31552"/>
    <cellStyle name="Suma 2 19 39" xfId="31553"/>
    <cellStyle name="Suma 2 19 39 2" xfId="31554"/>
    <cellStyle name="Suma 2 19 39 3" xfId="31555"/>
    <cellStyle name="Suma 2 19 4" xfId="31556"/>
    <cellStyle name="Suma 2 19 4 2" xfId="31557"/>
    <cellStyle name="Suma 2 19 4 3" xfId="31558"/>
    <cellStyle name="Suma 2 19 4 4" xfId="31559"/>
    <cellStyle name="Suma 2 19 40" xfId="31560"/>
    <cellStyle name="Suma 2 19 40 2" xfId="31561"/>
    <cellStyle name="Suma 2 19 40 3" xfId="31562"/>
    <cellStyle name="Suma 2 19 41" xfId="31563"/>
    <cellStyle name="Suma 2 19 41 2" xfId="31564"/>
    <cellStyle name="Suma 2 19 41 3" xfId="31565"/>
    <cellStyle name="Suma 2 19 42" xfId="31566"/>
    <cellStyle name="Suma 2 19 42 2" xfId="31567"/>
    <cellStyle name="Suma 2 19 42 3" xfId="31568"/>
    <cellStyle name="Suma 2 19 43" xfId="31569"/>
    <cellStyle name="Suma 2 19 43 2" xfId="31570"/>
    <cellStyle name="Suma 2 19 43 3" xfId="31571"/>
    <cellStyle name="Suma 2 19 44" xfId="31572"/>
    <cellStyle name="Suma 2 19 44 2" xfId="31573"/>
    <cellStyle name="Suma 2 19 44 3" xfId="31574"/>
    <cellStyle name="Suma 2 19 45" xfId="31575"/>
    <cellStyle name="Suma 2 19 45 2" xfId="31576"/>
    <cellStyle name="Suma 2 19 45 3" xfId="31577"/>
    <cellStyle name="Suma 2 19 46" xfId="31578"/>
    <cellStyle name="Suma 2 19 46 2" xfId="31579"/>
    <cellStyle name="Suma 2 19 46 3" xfId="31580"/>
    <cellStyle name="Suma 2 19 47" xfId="31581"/>
    <cellStyle name="Suma 2 19 47 2" xfId="31582"/>
    <cellStyle name="Suma 2 19 47 3" xfId="31583"/>
    <cellStyle name="Suma 2 19 48" xfId="31584"/>
    <cellStyle name="Suma 2 19 48 2" xfId="31585"/>
    <cellStyle name="Suma 2 19 48 3" xfId="31586"/>
    <cellStyle name="Suma 2 19 49" xfId="31587"/>
    <cellStyle name="Suma 2 19 49 2" xfId="31588"/>
    <cellStyle name="Suma 2 19 49 3" xfId="31589"/>
    <cellStyle name="Suma 2 19 5" xfId="31590"/>
    <cellStyle name="Suma 2 19 5 2" xfId="31591"/>
    <cellStyle name="Suma 2 19 5 3" xfId="31592"/>
    <cellStyle name="Suma 2 19 5 4" xfId="31593"/>
    <cellStyle name="Suma 2 19 50" xfId="31594"/>
    <cellStyle name="Suma 2 19 50 2" xfId="31595"/>
    <cellStyle name="Suma 2 19 50 3" xfId="31596"/>
    <cellStyle name="Suma 2 19 51" xfId="31597"/>
    <cellStyle name="Suma 2 19 51 2" xfId="31598"/>
    <cellStyle name="Suma 2 19 51 3" xfId="31599"/>
    <cellStyle name="Suma 2 19 52" xfId="31600"/>
    <cellStyle name="Suma 2 19 52 2" xfId="31601"/>
    <cellStyle name="Suma 2 19 52 3" xfId="31602"/>
    <cellStyle name="Suma 2 19 53" xfId="31603"/>
    <cellStyle name="Suma 2 19 53 2" xfId="31604"/>
    <cellStyle name="Suma 2 19 53 3" xfId="31605"/>
    <cellStyle name="Suma 2 19 54" xfId="31606"/>
    <cellStyle name="Suma 2 19 54 2" xfId="31607"/>
    <cellStyle name="Suma 2 19 54 3" xfId="31608"/>
    <cellStyle name="Suma 2 19 55" xfId="31609"/>
    <cellStyle name="Suma 2 19 55 2" xfId="31610"/>
    <cellStyle name="Suma 2 19 55 3" xfId="31611"/>
    <cellStyle name="Suma 2 19 56" xfId="31612"/>
    <cellStyle name="Suma 2 19 56 2" xfId="31613"/>
    <cellStyle name="Suma 2 19 56 3" xfId="31614"/>
    <cellStyle name="Suma 2 19 57" xfId="31615"/>
    <cellStyle name="Suma 2 19 58" xfId="31616"/>
    <cellStyle name="Suma 2 19 6" xfId="31617"/>
    <cellStyle name="Suma 2 19 6 2" xfId="31618"/>
    <cellStyle name="Suma 2 19 6 3" xfId="31619"/>
    <cellStyle name="Suma 2 19 6 4" xfId="31620"/>
    <cellStyle name="Suma 2 19 7" xfId="31621"/>
    <cellStyle name="Suma 2 19 7 2" xfId="31622"/>
    <cellStyle name="Suma 2 19 7 3" xfId="31623"/>
    <cellStyle name="Suma 2 19 7 4" xfId="31624"/>
    <cellStyle name="Suma 2 19 8" xfId="31625"/>
    <cellStyle name="Suma 2 19 8 2" xfId="31626"/>
    <cellStyle name="Suma 2 19 8 3" xfId="31627"/>
    <cellStyle name="Suma 2 19 8 4" xfId="31628"/>
    <cellStyle name="Suma 2 19 9" xfId="31629"/>
    <cellStyle name="Suma 2 19 9 2" xfId="31630"/>
    <cellStyle name="Suma 2 19 9 3" xfId="31631"/>
    <cellStyle name="Suma 2 19 9 4" xfId="31632"/>
    <cellStyle name="Suma 2 2" xfId="31633"/>
    <cellStyle name="Suma 2 2 10" xfId="31634"/>
    <cellStyle name="Suma 2 2 10 2" xfId="31635"/>
    <cellStyle name="Suma 2 2 10 3" xfId="31636"/>
    <cellStyle name="Suma 2 2 10 4" xfId="31637"/>
    <cellStyle name="Suma 2 2 11" xfId="31638"/>
    <cellStyle name="Suma 2 2 11 2" xfId="31639"/>
    <cellStyle name="Suma 2 2 11 3" xfId="31640"/>
    <cellStyle name="Suma 2 2 11 4" xfId="31641"/>
    <cellStyle name="Suma 2 2 12" xfId="31642"/>
    <cellStyle name="Suma 2 2 12 2" xfId="31643"/>
    <cellStyle name="Suma 2 2 12 3" xfId="31644"/>
    <cellStyle name="Suma 2 2 12 4" xfId="31645"/>
    <cellStyle name="Suma 2 2 13" xfId="31646"/>
    <cellStyle name="Suma 2 2 13 2" xfId="31647"/>
    <cellStyle name="Suma 2 2 13 3" xfId="31648"/>
    <cellStyle name="Suma 2 2 13 4" xfId="31649"/>
    <cellStyle name="Suma 2 2 14" xfId="31650"/>
    <cellStyle name="Suma 2 2 14 2" xfId="31651"/>
    <cellStyle name="Suma 2 2 14 3" xfId="31652"/>
    <cellStyle name="Suma 2 2 14 4" xfId="31653"/>
    <cellStyle name="Suma 2 2 15" xfId="31654"/>
    <cellStyle name="Suma 2 2 15 2" xfId="31655"/>
    <cellStyle name="Suma 2 2 15 3" xfId="31656"/>
    <cellStyle name="Suma 2 2 15 4" xfId="31657"/>
    <cellStyle name="Suma 2 2 16" xfId="31658"/>
    <cellStyle name="Suma 2 2 16 2" xfId="31659"/>
    <cellStyle name="Suma 2 2 16 3" xfId="31660"/>
    <cellStyle name="Suma 2 2 16 4" xfId="31661"/>
    <cellStyle name="Suma 2 2 17" xfId="31662"/>
    <cellStyle name="Suma 2 2 17 2" xfId="31663"/>
    <cellStyle name="Suma 2 2 17 3" xfId="31664"/>
    <cellStyle name="Suma 2 2 17 4" xfId="31665"/>
    <cellStyle name="Suma 2 2 18" xfId="31666"/>
    <cellStyle name="Suma 2 2 18 2" xfId="31667"/>
    <cellStyle name="Suma 2 2 18 3" xfId="31668"/>
    <cellStyle name="Suma 2 2 18 4" xfId="31669"/>
    <cellStyle name="Suma 2 2 19" xfId="31670"/>
    <cellStyle name="Suma 2 2 19 2" xfId="31671"/>
    <cellStyle name="Suma 2 2 19 3" xfId="31672"/>
    <cellStyle name="Suma 2 2 19 4" xfId="31673"/>
    <cellStyle name="Suma 2 2 2" xfId="31674"/>
    <cellStyle name="Suma 2 2 2 2" xfId="31675"/>
    <cellStyle name="Suma 2 2 2 3" xfId="31676"/>
    <cellStyle name="Suma 2 2 2 4" xfId="31677"/>
    <cellStyle name="Suma 2 2 20" xfId="31678"/>
    <cellStyle name="Suma 2 2 20 2" xfId="31679"/>
    <cellStyle name="Suma 2 2 20 3" xfId="31680"/>
    <cellStyle name="Suma 2 2 20 4" xfId="31681"/>
    <cellStyle name="Suma 2 2 21" xfId="31682"/>
    <cellStyle name="Suma 2 2 21 2" xfId="31683"/>
    <cellStyle name="Suma 2 2 21 3" xfId="31684"/>
    <cellStyle name="Suma 2 2 22" xfId="31685"/>
    <cellStyle name="Suma 2 2 22 2" xfId="31686"/>
    <cellStyle name="Suma 2 2 22 3" xfId="31687"/>
    <cellStyle name="Suma 2 2 23" xfId="31688"/>
    <cellStyle name="Suma 2 2 23 2" xfId="31689"/>
    <cellStyle name="Suma 2 2 23 3" xfId="31690"/>
    <cellStyle name="Suma 2 2 24" xfId="31691"/>
    <cellStyle name="Suma 2 2 24 2" xfId="31692"/>
    <cellStyle name="Suma 2 2 24 3" xfId="31693"/>
    <cellStyle name="Suma 2 2 25" xfId="31694"/>
    <cellStyle name="Suma 2 2 25 2" xfId="31695"/>
    <cellStyle name="Suma 2 2 25 3" xfId="31696"/>
    <cellStyle name="Suma 2 2 26" xfId="31697"/>
    <cellStyle name="Suma 2 2 26 2" xfId="31698"/>
    <cellStyle name="Suma 2 2 26 3" xfId="31699"/>
    <cellStyle name="Suma 2 2 27" xfId="31700"/>
    <cellStyle name="Suma 2 2 27 2" xfId="31701"/>
    <cellStyle name="Suma 2 2 27 3" xfId="31702"/>
    <cellStyle name="Suma 2 2 28" xfId="31703"/>
    <cellStyle name="Suma 2 2 28 2" xfId="31704"/>
    <cellStyle name="Suma 2 2 28 3" xfId="31705"/>
    <cellStyle name="Suma 2 2 29" xfId="31706"/>
    <cellStyle name="Suma 2 2 29 2" xfId="31707"/>
    <cellStyle name="Suma 2 2 29 3" xfId="31708"/>
    <cellStyle name="Suma 2 2 3" xfId="31709"/>
    <cellStyle name="Suma 2 2 3 2" xfId="31710"/>
    <cellStyle name="Suma 2 2 3 3" xfId="31711"/>
    <cellStyle name="Suma 2 2 3 4" xfId="31712"/>
    <cellStyle name="Suma 2 2 30" xfId="31713"/>
    <cellStyle name="Suma 2 2 30 2" xfId="31714"/>
    <cellStyle name="Suma 2 2 30 3" xfId="31715"/>
    <cellStyle name="Suma 2 2 31" xfId="31716"/>
    <cellStyle name="Suma 2 2 31 2" xfId="31717"/>
    <cellStyle name="Suma 2 2 31 3" xfId="31718"/>
    <cellStyle name="Suma 2 2 32" xfId="31719"/>
    <cellStyle name="Suma 2 2 32 2" xfId="31720"/>
    <cellStyle name="Suma 2 2 32 3" xfId="31721"/>
    <cellStyle name="Suma 2 2 33" xfId="31722"/>
    <cellStyle name="Suma 2 2 33 2" xfId="31723"/>
    <cellStyle name="Suma 2 2 33 3" xfId="31724"/>
    <cellStyle name="Suma 2 2 34" xfId="31725"/>
    <cellStyle name="Suma 2 2 34 2" xfId="31726"/>
    <cellStyle name="Suma 2 2 34 3" xfId="31727"/>
    <cellStyle name="Suma 2 2 35" xfId="31728"/>
    <cellStyle name="Suma 2 2 35 2" xfId="31729"/>
    <cellStyle name="Suma 2 2 35 3" xfId="31730"/>
    <cellStyle name="Suma 2 2 36" xfId="31731"/>
    <cellStyle name="Suma 2 2 36 2" xfId="31732"/>
    <cellStyle name="Suma 2 2 36 3" xfId="31733"/>
    <cellStyle name="Suma 2 2 37" xfId="31734"/>
    <cellStyle name="Suma 2 2 37 2" xfId="31735"/>
    <cellStyle name="Suma 2 2 37 3" xfId="31736"/>
    <cellStyle name="Suma 2 2 38" xfId="31737"/>
    <cellStyle name="Suma 2 2 38 2" xfId="31738"/>
    <cellStyle name="Suma 2 2 38 3" xfId="31739"/>
    <cellStyle name="Suma 2 2 39" xfId="31740"/>
    <cellStyle name="Suma 2 2 39 2" xfId="31741"/>
    <cellStyle name="Suma 2 2 39 3" xfId="31742"/>
    <cellStyle name="Suma 2 2 4" xfId="31743"/>
    <cellStyle name="Suma 2 2 4 2" xfId="31744"/>
    <cellStyle name="Suma 2 2 4 3" xfId="31745"/>
    <cellStyle name="Suma 2 2 4 4" xfId="31746"/>
    <cellStyle name="Suma 2 2 40" xfId="31747"/>
    <cellStyle name="Suma 2 2 40 2" xfId="31748"/>
    <cellStyle name="Suma 2 2 40 3" xfId="31749"/>
    <cellStyle name="Suma 2 2 41" xfId="31750"/>
    <cellStyle name="Suma 2 2 41 2" xfId="31751"/>
    <cellStyle name="Suma 2 2 41 3" xfId="31752"/>
    <cellStyle name="Suma 2 2 42" xfId="31753"/>
    <cellStyle name="Suma 2 2 42 2" xfId="31754"/>
    <cellStyle name="Suma 2 2 42 3" xfId="31755"/>
    <cellStyle name="Suma 2 2 43" xfId="31756"/>
    <cellStyle name="Suma 2 2 43 2" xfId="31757"/>
    <cellStyle name="Suma 2 2 43 3" xfId="31758"/>
    <cellStyle name="Suma 2 2 44" xfId="31759"/>
    <cellStyle name="Suma 2 2 44 2" xfId="31760"/>
    <cellStyle name="Suma 2 2 44 3" xfId="31761"/>
    <cellStyle name="Suma 2 2 45" xfId="31762"/>
    <cellStyle name="Suma 2 2 45 2" xfId="31763"/>
    <cellStyle name="Suma 2 2 45 3" xfId="31764"/>
    <cellStyle name="Suma 2 2 46" xfId="31765"/>
    <cellStyle name="Suma 2 2 46 2" xfId="31766"/>
    <cellStyle name="Suma 2 2 46 3" xfId="31767"/>
    <cellStyle name="Suma 2 2 47" xfId="31768"/>
    <cellStyle name="Suma 2 2 47 2" xfId="31769"/>
    <cellStyle name="Suma 2 2 47 3" xfId="31770"/>
    <cellStyle name="Suma 2 2 48" xfId="31771"/>
    <cellStyle name="Suma 2 2 48 2" xfId="31772"/>
    <cellStyle name="Suma 2 2 48 3" xfId="31773"/>
    <cellStyle name="Suma 2 2 49" xfId="31774"/>
    <cellStyle name="Suma 2 2 49 2" xfId="31775"/>
    <cellStyle name="Suma 2 2 49 3" xfId="31776"/>
    <cellStyle name="Suma 2 2 5" xfId="31777"/>
    <cellStyle name="Suma 2 2 5 2" xfId="31778"/>
    <cellStyle name="Suma 2 2 5 3" xfId="31779"/>
    <cellStyle name="Suma 2 2 5 4" xfId="31780"/>
    <cellStyle name="Suma 2 2 50" xfId="31781"/>
    <cellStyle name="Suma 2 2 50 2" xfId="31782"/>
    <cellStyle name="Suma 2 2 50 3" xfId="31783"/>
    <cellStyle name="Suma 2 2 51" xfId="31784"/>
    <cellStyle name="Suma 2 2 51 2" xfId="31785"/>
    <cellStyle name="Suma 2 2 51 3" xfId="31786"/>
    <cellStyle name="Suma 2 2 52" xfId="31787"/>
    <cellStyle name="Suma 2 2 52 2" xfId="31788"/>
    <cellStyle name="Suma 2 2 52 3" xfId="31789"/>
    <cellStyle name="Suma 2 2 53" xfId="31790"/>
    <cellStyle name="Suma 2 2 53 2" xfId="31791"/>
    <cellStyle name="Suma 2 2 53 3" xfId="31792"/>
    <cellStyle name="Suma 2 2 54" xfId="31793"/>
    <cellStyle name="Suma 2 2 54 2" xfId="31794"/>
    <cellStyle name="Suma 2 2 54 3" xfId="31795"/>
    <cellStyle name="Suma 2 2 55" xfId="31796"/>
    <cellStyle name="Suma 2 2 55 2" xfId="31797"/>
    <cellStyle name="Suma 2 2 55 3" xfId="31798"/>
    <cellStyle name="Suma 2 2 56" xfId="31799"/>
    <cellStyle name="Suma 2 2 56 2" xfId="31800"/>
    <cellStyle name="Suma 2 2 56 3" xfId="31801"/>
    <cellStyle name="Suma 2 2 57" xfId="31802"/>
    <cellStyle name="Suma 2 2 58" xfId="31803"/>
    <cellStyle name="Suma 2 2 59" xfId="31804"/>
    <cellStyle name="Suma 2 2 6" xfId="31805"/>
    <cellStyle name="Suma 2 2 6 2" xfId="31806"/>
    <cellStyle name="Suma 2 2 6 3" xfId="31807"/>
    <cellStyle name="Suma 2 2 6 4" xfId="31808"/>
    <cellStyle name="Suma 2 2 7" xfId="31809"/>
    <cellStyle name="Suma 2 2 7 2" xfId="31810"/>
    <cellStyle name="Suma 2 2 7 3" xfId="31811"/>
    <cellStyle name="Suma 2 2 7 4" xfId="31812"/>
    <cellStyle name="Suma 2 2 8" xfId="31813"/>
    <cellStyle name="Suma 2 2 8 2" xfId="31814"/>
    <cellStyle name="Suma 2 2 8 3" xfId="31815"/>
    <cellStyle name="Suma 2 2 8 4" xfId="31816"/>
    <cellStyle name="Suma 2 2 9" xfId="31817"/>
    <cellStyle name="Suma 2 2 9 2" xfId="31818"/>
    <cellStyle name="Suma 2 2 9 3" xfId="31819"/>
    <cellStyle name="Suma 2 2 9 4" xfId="31820"/>
    <cellStyle name="Suma 2 20" xfId="31821"/>
    <cellStyle name="Suma 2 20 10" xfId="31822"/>
    <cellStyle name="Suma 2 20 10 2" xfId="31823"/>
    <cellStyle name="Suma 2 20 10 3" xfId="31824"/>
    <cellStyle name="Suma 2 20 10 4" xfId="31825"/>
    <cellStyle name="Suma 2 20 11" xfId="31826"/>
    <cellStyle name="Suma 2 20 11 2" xfId="31827"/>
    <cellStyle name="Suma 2 20 11 3" xfId="31828"/>
    <cellStyle name="Suma 2 20 11 4" xfId="31829"/>
    <cellStyle name="Suma 2 20 12" xfId="31830"/>
    <cellStyle name="Suma 2 20 12 2" xfId="31831"/>
    <cellStyle name="Suma 2 20 12 3" xfId="31832"/>
    <cellStyle name="Suma 2 20 12 4" xfId="31833"/>
    <cellStyle name="Suma 2 20 13" xfId="31834"/>
    <cellStyle name="Suma 2 20 13 2" xfId="31835"/>
    <cellStyle name="Suma 2 20 13 3" xfId="31836"/>
    <cellStyle name="Suma 2 20 13 4" xfId="31837"/>
    <cellStyle name="Suma 2 20 14" xfId="31838"/>
    <cellStyle name="Suma 2 20 14 2" xfId="31839"/>
    <cellStyle name="Suma 2 20 14 3" xfId="31840"/>
    <cellStyle name="Suma 2 20 14 4" xfId="31841"/>
    <cellStyle name="Suma 2 20 15" xfId="31842"/>
    <cellStyle name="Suma 2 20 15 2" xfId="31843"/>
    <cellStyle name="Suma 2 20 15 3" xfId="31844"/>
    <cellStyle name="Suma 2 20 15 4" xfId="31845"/>
    <cellStyle name="Suma 2 20 16" xfId="31846"/>
    <cellStyle name="Suma 2 20 16 2" xfId="31847"/>
    <cellStyle name="Suma 2 20 16 3" xfId="31848"/>
    <cellStyle name="Suma 2 20 16 4" xfId="31849"/>
    <cellStyle name="Suma 2 20 17" xfId="31850"/>
    <cellStyle name="Suma 2 20 17 2" xfId="31851"/>
    <cellStyle name="Suma 2 20 17 3" xfId="31852"/>
    <cellStyle name="Suma 2 20 17 4" xfId="31853"/>
    <cellStyle name="Suma 2 20 18" xfId="31854"/>
    <cellStyle name="Suma 2 20 18 2" xfId="31855"/>
    <cellStyle name="Suma 2 20 18 3" xfId="31856"/>
    <cellStyle name="Suma 2 20 18 4" xfId="31857"/>
    <cellStyle name="Suma 2 20 19" xfId="31858"/>
    <cellStyle name="Suma 2 20 19 2" xfId="31859"/>
    <cellStyle name="Suma 2 20 19 3" xfId="31860"/>
    <cellStyle name="Suma 2 20 19 4" xfId="31861"/>
    <cellStyle name="Suma 2 20 2" xfId="31862"/>
    <cellStyle name="Suma 2 20 2 2" xfId="31863"/>
    <cellStyle name="Suma 2 20 2 3" xfId="31864"/>
    <cellStyle name="Suma 2 20 2 4" xfId="31865"/>
    <cellStyle name="Suma 2 20 20" xfId="31866"/>
    <cellStyle name="Suma 2 20 20 2" xfId="31867"/>
    <cellStyle name="Suma 2 20 20 3" xfId="31868"/>
    <cellStyle name="Suma 2 20 20 4" xfId="31869"/>
    <cellStyle name="Suma 2 20 21" xfId="31870"/>
    <cellStyle name="Suma 2 20 21 2" xfId="31871"/>
    <cellStyle name="Suma 2 20 21 3" xfId="31872"/>
    <cellStyle name="Suma 2 20 22" xfId="31873"/>
    <cellStyle name="Suma 2 20 22 2" xfId="31874"/>
    <cellStyle name="Suma 2 20 22 3" xfId="31875"/>
    <cellStyle name="Suma 2 20 23" xfId="31876"/>
    <cellStyle name="Suma 2 20 23 2" xfId="31877"/>
    <cellStyle name="Suma 2 20 23 3" xfId="31878"/>
    <cellStyle name="Suma 2 20 24" xfId="31879"/>
    <cellStyle name="Suma 2 20 24 2" xfId="31880"/>
    <cellStyle name="Suma 2 20 24 3" xfId="31881"/>
    <cellStyle name="Suma 2 20 25" xfId="31882"/>
    <cellStyle name="Suma 2 20 25 2" xfId="31883"/>
    <cellStyle name="Suma 2 20 25 3" xfId="31884"/>
    <cellStyle name="Suma 2 20 26" xfId="31885"/>
    <cellStyle name="Suma 2 20 26 2" xfId="31886"/>
    <cellStyle name="Suma 2 20 26 3" xfId="31887"/>
    <cellStyle name="Suma 2 20 27" xfId="31888"/>
    <cellStyle name="Suma 2 20 27 2" xfId="31889"/>
    <cellStyle name="Suma 2 20 27 3" xfId="31890"/>
    <cellStyle name="Suma 2 20 28" xfId="31891"/>
    <cellStyle name="Suma 2 20 28 2" xfId="31892"/>
    <cellStyle name="Suma 2 20 28 3" xfId="31893"/>
    <cellStyle name="Suma 2 20 29" xfId="31894"/>
    <cellStyle name="Suma 2 20 29 2" xfId="31895"/>
    <cellStyle name="Suma 2 20 29 3" xfId="31896"/>
    <cellStyle name="Suma 2 20 3" xfId="31897"/>
    <cellStyle name="Suma 2 20 3 2" xfId="31898"/>
    <cellStyle name="Suma 2 20 3 3" xfId="31899"/>
    <cellStyle name="Suma 2 20 3 4" xfId="31900"/>
    <cellStyle name="Suma 2 20 30" xfId="31901"/>
    <cellStyle name="Suma 2 20 30 2" xfId="31902"/>
    <cellStyle name="Suma 2 20 30 3" xfId="31903"/>
    <cellStyle name="Suma 2 20 31" xfId="31904"/>
    <cellStyle name="Suma 2 20 31 2" xfId="31905"/>
    <cellStyle name="Suma 2 20 31 3" xfId="31906"/>
    <cellStyle name="Suma 2 20 32" xfId="31907"/>
    <cellStyle name="Suma 2 20 32 2" xfId="31908"/>
    <cellStyle name="Suma 2 20 32 3" xfId="31909"/>
    <cellStyle name="Suma 2 20 33" xfId="31910"/>
    <cellStyle name="Suma 2 20 33 2" xfId="31911"/>
    <cellStyle name="Suma 2 20 33 3" xfId="31912"/>
    <cellStyle name="Suma 2 20 34" xfId="31913"/>
    <cellStyle name="Suma 2 20 34 2" xfId="31914"/>
    <cellStyle name="Suma 2 20 34 3" xfId="31915"/>
    <cellStyle name="Suma 2 20 35" xfId="31916"/>
    <cellStyle name="Suma 2 20 35 2" xfId="31917"/>
    <cellStyle name="Suma 2 20 35 3" xfId="31918"/>
    <cellStyle name="Suma 2 20 36" xfId="31919"/>
    <cellStyle name="Suma 2 20 36 2" xfId="31920"/>
    <cellStyle name="Suma 2 20 36 3" xfId="31921"/>
    <cellStyle name="Suma 2 20 37" xfId="31922"/>
    <cellStyle name="Suma 2 20 37 2" xfId="31923"/>
    <cellStyle name="Suma 2 20 37 3" xfId="31924"/>
    <cellStyle name="Suma 2 20 38" xfId="31925"/>
    <cellStyle name="Suma 2 20 38 2" xfId="31926"/>
    <cellStyle name="Suma 2 20 38 3" xfId="31927"/>
    <cellStyle name="Suma 2 20 39" xfId="31928"/>
    <cellStyle name="Suma 2 20 39 2" xfId="31929"/>
    <cellStyle name="Suma 2 20 39 3" xfId="31930"/>
    <cellStyle name="Suma 2 20 4" xfId="31931"/>
    <cellStyle name="Suma 2 20 4 2" xfId="31932"/>
    <cellStyle name="Suma 2 20 4 3" xfId="31933"/>
    <cellStyle name="Suma 2 20 4 4" xfId="31934"/>
    <cellStyle name="Suma 2 20 40" xfId="31935"/>
    <cellStyle name="Suma 2 20 40 2" xfId="31936"/>
    <cellStyle name="Suma 2 20 40 3" xfId="31937"/>
    <cellStyle name="Suma 2 20 41" xfId="31938"/>
    <cellStyle name="Suma 2 20 41 2" xfId="31939"/>
    <cellStyle name="Suma 2 20 41 3" xfId="31940"/>
    <cellStyle name="Suma 2 20 42" xfId="31941"/>
    <cellStyle name="Suma 2 20 42 2" xfId="31942"/>
    <cellStyle name="Suma 2 20 42 3" xfId="31943"/>
    <cellStyle name="Suma 2 20 43" xfId="31944"/>
    <cellStyle name="Suma 2 20 43 2" xfId="31945"/>
    <cellStyle name="Suma 2 20 43 3" xfId="31946"/>
    <cellStyle name="Suma 2 20 44" xfId="31947"/>
    <cellStyle name="Suma 2 20 44 2" xfId="31948"/>
    <cellStyle name="Suma 2 20 44 3" xfId="31949"/>
    <cellStyle name="Suma 2 20 45" xfId="31950"/>
    <cellStyle name="Suma 2 20 45 2" xfId="31951"/>
    <cellStyle name="Suma 2 20 45 3" xfId="31952"/>
    <cellStyle name="Suma 2 20 46" xfId="31953"/>
    <cellStyle name="Suma 2 20 46 2" xfId="31954"/>
    <cellStyle name="Suma 2 20 46 3" xfId="31955"/>
    <cellStyle name="Suma 2 20 47" xfId="31956"/>
    <cellStyle name="Suma 2 20 47 2" xfId="31957"/>
    <cellStyle name="Suma 2 20 47 3" xfId="31958"/>
    <cellStyle name="Suma 2 20 48" xfId="31959"/>
    <cellStyle name="Suma 2 20 48 2" xfId="31960"/>
    <cellStyle name="Suma 2 20 48 3" xfId="31961"/>
    <cellStyle name="Suma 2 20 49" xfId="31962"/>
    <cellStyle name="Suma 2 20 49 2" xfId="31963"/>
    <cellStyle name="Suma 2 20 49 3" xfId="31964"/>
    <cellStyle name="Suma 2 20 5" xfId="31965"/>
    <cellStyle name="Suma 2 20 5 2" xfId="31966"/>
    <cellStyle name="Suma 2 20 5 3" xfId="31967"/>
    <cellStyle name="Suma 2 20 5 4" xfId="31968"/>
    <cellStyle name="Suma 2 20 50" xfId="31969"/>
    <cellStyle name="Suma 2 20 50 2" xfId="31970"/>
    <cellStyle name="Suma 2 20 50 3" xfId="31971"/>
    <cellStyle name="Suma 2 20 51" xfId="31972"/>
    <cellStyle name="Suma 2 20 51 2" xfId="31973"/>
    <cellStyle name="Suma 2 20 51 3" xfId="31974"/>
    <cellStyle name="Suma 2 20 52" xfId="31975"/>
    <cellStyle name="Suma 2 20 52 2" xfId="31976"/>
    <cellStyle name="Suma 2 20 52 3" xfId="31977"/>
    <cellStyle name="Suma 2 20 53" xfId="31978"/>
    <cellStyle name="Suma 2 20 53 2" xfId="31979"/>
    <cellStyle name="Suma 2 20 53 3" xfId="31980"/>
    <cellStyle name="Suma 2 20 54" xfId="31981"/>
    <cellStyle name="Suma 2 20 54 2" xfId="31982"/>
    <cellStyle name="Suma 2 20 54 3" xfId="31983"/>
    <cellStyle name="Suma 2 20 55" xfId="31984"/>
    <cellStyle name="Suma 2 20 55 2" xfId="31985"/>
    <cellStyle name="Suma 2 20 55 3" xfId="31986"/>
    <cellStyle name="Suma 2 20 56" xfId="31987"/>
    <cellStyle name="Suma 2 20 56 2" xfId="31988"/>
    <cellStyle name="Suma 2 20 56 3" xfId="31989"/>
    <cellStyle name="Suma 2 20 57" xfId="31990"/>
    <cellStyle name="Suma 2 20 58" xfId="31991"/>
    <cellStyle name="Suma 2 20 6" xfId="31992"/>
    <cellStyle name="Suma 2 20 6 2" xfId="31993"/>
    <cellStyle name="Suma 2 20 6 3" xfId="31994"/>
    <cellStyle name="Suma 2 20 6 4" xfId="31995"/>
    <cellStyle name="Suma 2 20 7" xfId="31996"/>
    <cellStyle name="Suma 2 20 7 2" xfId="31997"/>
    <cellStyle name="Suma 2 20 7 3" xfId="31998"/>
    <cellStyle name="Suma 2 20 7 4" xfId="31999"/>
    <cellStyle name="Suma 2 20 8" xfId="32000"/>
    <cellStyle name="Suma 2 20 8 2" xfId="32001"/>
    <cellStyle name="Suma 2 20 8 3" xfId="32002"/>
    <cellStyle name="Suma 2 20 8 4" xfId="32003"/>
    <cellStyle name="Suma 2 20 9" xfId="32004"/>
    <cellStyle name="Suma 2 20 9 2" xfId="32005"/>
    <cellStyle name="Suma 2 20 9 3" xfId="32006"/>
    <cellStyle name="Suma 2 20 9 4" xfId="32007"/>
    <cellStyle name="Suma 2 21" xfId="32008"/>
    <cellStyle name="Suma 2 21 10" xfId="32009"/>
    <cellStyle name="Suma 2 21 10 2" xfId="32010"/>
    <cellStyle name="Suma 2 21 10 3" xfId="32011"/>
    <cellStyle name="Suma 2 21 10 4" xfId="32012"/>
    <cellStyle name="Suma 2 21 11" xfId="32013"/>
    <cellStyle name="Suma 2 21 11 2" xfId="32014"/>
    <cellStyle name="Suma 2 21 11 3" xfId="32015"/>
    <cellStyle name="Suma 2 21 11 4" xfId="32016"/>
    <cellStyle name="Suma 2 21 12" xfId="32017"/>
    <cellStyle name="Suma 2 21 12 2" xfId="32018"/>
    <cellStyle name="Suma 2 21 12 3" xfId="32019"/>
    <cellStyle name="Suma 2 21 12 4" xfId="32020"/>
    <cellStyle name="Suma 2 21 13" xfId="32021"/>
    <cellStyle name="Suma 2 21 13 2" xfId="32022"/>
    <cellStyle name="Suma 2 21 13 3" xfId="32023"/>
    <cellStyle name="Suma 2 21 13 4" xfId="32024"/>
    <cellStyle name="Suma 2 21 14" xfId="32025"/>
    <cellStyle name="Suma 2 21 14 2" xfId="32026"/>
    <cellStyle name="Suma 2 21 14 3" xfId="32027"/>
    <cellStyle name="Suma 2 21 14 4" xfId="32028"/>
    <cellStyle name="Suma 2 21 15" xfId="32029"/>
    <cellStyle name="Suma 2 21 15 2" xfId="32030"/>
    <cellStyle name="Suma 2 21 15 3" xfId="32031"/>
    <cellStyle name="Suma 2 21 15 4" xfId="32032"/>
    <cellStyle name="Suma 2 21 16" xfId="32033"/>
    <cellStyle name="Suma 2 21 16 2" xfId="32034"/>
    <cellStyle name="Suma 2 21 16 3" xfId="32035"/>
    <cellStyle name="Suma 2 21 16 4" xfId="32036"/>
    <cellStyle name="Suma 2 21 17" xfId="32037"/>
    <cellStyle name="Suma 2 21 17 2" xfId="32038"/>
    <cellStyle name="Suma 2 21 17 3" xfId="32039"/>
    <cellStyle name="Suma 2 21 17 4" xfId="32040"/>
    <cellStyle name="Suma 2 21 18" xfId="32041"/>
    <cellStyle name="Suma 2 21 18 2" xfId="32042"/>
    <cellStyle name="Suma 2 21 18 3" xfId="32043"/>
    <cellStyle name="Suma 2 21 18 4" xfId="32044"/>
    <cellStyle name="Suma 2 21 19" xfId="32045"/>
    <cellStyle name="Suma 2 21 19 2" xfId="32046"/>
    <cellStyle name="Suma 2 21 19 3" xfId="32047"/>
    <cellStyle name="Suma 2 21 19 4" xfId="32048"/>
    <cellStyle name="Suma 2 21 2" xfId="32049"/>
    <cellStyle name="Suma 2 21 2 2" xfId="32050"/>
    <cellStyle name="Suma 2 21 2 3" xfId="32051"/>
    <cellStyle name="Suma 2 21 2 4" xfId="32052"/>
    <cellStyle name="Suma 2 21 20" xfId="32053"/>
    <cellStyle name="Suma 2 21 20 2" xfId="32054"/>
    <cellStyle name="Suma 2 21 20 3" xfId="32055"/>
    <cellStyle name="Suma 2 21 20 4" xfId="32056"/>
    <cellStyle name="Suma 2 21 21" xfId="32057"/>
    <cellStyle name="Suma 2 21 21 2" xfId="32058"/>
    <cellStyle name="Suma 2 21 21 3" xfId="32059"/>
    <cellStyle name="Suma 2 21 22" xfId="32060"/>
    <cellStyle name="Suma 2 21 22 2" xfId="32061"/>
    <cellStyle name="Suma 2 21 22 3" xfId="32062"/>
    <cellStyle name="Suma 2 21 23" xfId="32063"/>
    <cellStyle name="Suma 2 21 23 2" xfId="32064"/>
    <cellStyle name="Suma 2 21 23 3" xfId="32065"/>
    <cellStyle name="Suma 2 21 24" xfId="32066"/>
    <cellStyle name="Suma 2 21 24 2" xfId="32067"/>
    <cellStyle name="Suma 2 21 24 3" xfId="32068"/>
    <cellStyle name="Suma 2 21 25" xfId="32069"/>
    <cellStyle name="Suma 2 21 25 2" xfId="32070"/>
    <cellStyle name="Suma 2 21 25 3" xfId="32071"/>
    <cellStyle name="Suma 2 21 26" xfId="32072"/>
    <cellStyle name="Suma 2 21 26 2" xfId="32073"/>
    <cellStyle name="Suma 2 21 26 3" xfId="32074"/>
    <cellStyle name="Suma 2 21 27" xfId="32075"/>
    <cellStyle name="Suma 2 21 27 2" xfId="32076"/>
    <cellStyle name="Suma 2 21 27 3" xfId="32077"/>
    <cellStyle name="Suma 2 21 28" xfId="32078"/>
    <cellStyle name="Suma 2 21 28 2" xfId="32079"/>
    <cellStyle name="Suma 2 21 28 3" xfId="32080"/>
    <cellStyle name="Suma 2 21 29" xfId="32081"/>
    <cellStyle name="Suma 2 21 29 2" xfId="32082"/>
    <cellStyle name="Suma 2 21 29 3" xfId="32083"/>
    <cellStyle name="Suma 2 21 3" xfId="32084"/>
    <cellStyle name="Suma 2 21 3 2" xfId="32085"/>
    <cellStyle name="Suma 2 21 3 3" xfId="32086"/>
    <cellStyle name="Suma 2 21 3 4" xfId="32087"/>
    <cellStyle name="Suma 2 21 30" xfId="32088"/>
    <cellStyle name="Suma 2 21 30 2" xfId="32089"/>
    <cellStyle name="Suma 2 21 30 3" xfId="32090"/>
    <cellStyle name="Suma 2 21 31" xfId="32091"/>
    <cellStyle name="Suma 2 21 31 2" xfId="32092"/>
    <cellStyle name="Suma 2 21 31 3" xfId="32093"/>
    <cellStyle name="Suma 2 21 32" xfId="32094"/>
    <cellStyle name="Suma 2 21 32 2" xfId="32095"/>
    <cellStyle name="Suma 2 21 32 3" xfId="32096"/>
    <cellStyle name="Suma 2 21 33" xfId="32097"/>
    <cellStyle name="Suma 2 21 33 2" xfId="32098"/>
    <cellStyle name="Suma 2 21 33 3" xfId="32099"/>
    <cellStyle name="Suma 2 21 34" xfId="32100"/>
    <cellStyle name="Suma 2 21 34 2" xfId="32101"/>
    <cellStyle name="Suma 2 21 34 3" xfId="32102"/>
    <cellStyle name="Suma 2 21 35" xfId="32103"/>
    <cellStyle name="Suma 2 21 35 2" xfId="32104"/>
    <cellStyle name="Suma 2 21 35 3" xfId="32105"/>
    <cellStyle name="Suma 2 21 36" xfId="32106"/>
    <cellStyle name="Suma 2 21 36 2" xfId="32107"/>
    <cellStyle name="Suma 2 21 36 3" xfId="32108"/>
    <cellStyle name="Suma 2 21 37" xfId="32109"/>
    <cellStyle name="Suma 2 21 37 2" xfId="32110"/>
    <cellStyle name="Suma 2 21 37 3" xfId="32111"/>
    <cellStyle name="Suma 2 21 38" xfId="32112"/>
    <cellStyle name="Suma 2 21 38 2" xfId="32113"/>
    <cellStyle name="Suma 2 21 38 3" xfId="32114"/>
    <cellStyle name="Suma 2 21 39" xfId="32115"/>
    <cellStyle name="Suma 2 21 39 2" xfId="32116"/>
    <cellStyle name="Suma 2 21 39 3" xfId="32117"/>
    <cellStyle name="Suma 2 21 4" xfId="32118"/>
    <cellStyle name="Suma 2 21 4 2" xfId="32119"/>
    <cellStyle name="Suma 2 21 4 3" xfId="32120"/>
    <cellStyle name="Suma 2 21 4 4" xfId="32121"/>
    <cellStyle name="Suma 2 21 40" xfId="32122"/>
    <cellStyle name="Suma 2 21 40 2" xfId="32123"/>
    <cellStyle name="Suma 2 21 40 3" xfId="32124"/>
    <cellStyle name="Suma 2 21 41" xfId="32125"/>
    <cellStyle name="Suma 2 21 41 2" xfId="32126"/>
    <cellStyle name="Suma 2 21 41 3" xfId="32127"/>
    <cellStyle name="Suma 2 21 42" xfId="32128"/>
    <cellStyle name="Suma 2 21 42 2" xfId="32129"/>
    <cellStyle name="Suma 2 21 42 3" xfId="32130"/>
    <cellStyle name="Suma 2 21 43" xfId="32131"/>
    <cellStyle name="Suma 2 21 43 2" xfId="32132"/>
    <cellStyle name="Suma 2 21 43 3" xfId="32133"/>
    <cellStyle name="Suma 2 21 44" xfId="32134"/>
    <cellStyle name="Suma 2 21 44 2" xfId="32135"/>
    <cellStyle name="Suma 2 21 44 3" xfId="32136"/>
    <cellStyle name="Suma 2 21 45" xfId="32137"/>
    <cellStyle name="Suma 2 21 45 2" xfId="32138"/>
    <cellStyle name="Suma 2 21 45 3" xfId="32139"/>
    <cellStyle name="Suma 2 21 46" xfId="32140"/>
    <cellStyle name="Suma 2 21 46 2" xfId="32141"/>
    <cellStyle name="Suma 2 21 46 3" xfId="32142"/>
    <cellStyle name="Suma 2 21 47" xfId="32143"/>
    <cellStyle name="Suma 2 21 47 2" xfId="32144"/>
    <cellStyle name="Suma 2 21 47 3" xfId="32145"/>
    <cellStyle name="Suma 2 21 48" xfId="32146"/>
    <cellStyle name="Suma 2 21 48 2" xfId="32147"/>
    <cellStyle name="Suma 2 21 48 3" xfId="32148"/>
    <cellStyle name="Suma 2 21 49" xfId="32149"/>
    <cellStyle name="Suma 2 21 49 2" xfId="32150"/>
    <cellStyle name="Suma 2 21 49 3" xfId="32151"/>
    <cellStyle name="Suma 2 21 5" xfId="32152"/>
    <cellStyle name="Suma 2 21 5 2" xfId="32153"/>
    <cellStyle name="Suma 2 21 5 3" xfId="32154"/>
    <cellStyle name="Suma 2 21 5 4" xfId="32155"/>
    <cellStyle name="Suma 2 21 50" xfId="32156"/>
    <cellStyle name="Suma 2 21 50 2" xfId="32157"/>
    <cellStyle name="Suma 2 21 50 3" xfId="32158"/>
    <cellStyle name="Suma 2 21 51" xfId="32159"/>
    <cellStyle name="Suma 2 21 51 2" xfId="32160"/>
    <cellStyle name="Suma 2 21 51 3" xfId="32161"/>
    <cellStyle name="Suma 2 21 52" xfId="32162"/>
    <cellStyle name="Suma 2 21 52 2" xfId="32163"/>
    <cellStyle name="Suma 2 21 52 3" xfId="32164"/>
    <cellStyle name="Suma 2 21 53" xfId="32165"/>
    <cellStyle name="Suma 2 21 53 2" xfId="32166"/>
    <cellStyle name="Suma 2 21 53 3" xfId="32167"/>
    <cellStyle name="Suma 2 21 54" xfId="32168"/>
    <cellStyle name="Suma 2 21 54 2" xfId="32169"/>
    <cellStyle name="Suma 2 21 54 3" xfId="32170"/>
    <cellStyle name="Suma 2 21 55" xfId="32171"/>
    <cellStyle name="Suma 2 21 55 2" xfId="32172"/>
    <cellStyle name="Suma 2 21 55 3" xfId="32173"/>
    <cellStyle name="Suma 2 21 56" xfId="32174"/>
    <cellStyle name="Suma 2 21 56 2" xfId="32175"/>
    <cellStyle name="Suma 2 21 56 3" xfId="32176"/>
    <cellStyle name="Suma 2 21 57" xfId="32177"/>
    <cellStyle name="Suma 2 21 58" xfId="32178"/>
    <cellStyle name="Suma 2 21 6" xfId="32179"/>
    <cellStyle name="Suma 2 21 6 2" xfId="32180"/>
    <cellStyle name="Suma 2 21 6 3" xfId="32181"/>
    <cellStyle name="Suma 2 21 6 4" xfId="32182"/>
    <cellStyle name="Suma 2 21 7" xfId="32183"/>
    <cellStyle name="Suma 2 21 7 2" xfId="32184"/>
    <cellStyle name="Suma 2 21 7 3" xfId="32185"/>
    <cellStyle name="Suma 2 21 7 4" xfId="32186"/>
    <cellStyle name="Suma 2 21 8" xfId="32187"/>
    <cellStyle name="Suma 2 21 8 2" xfId="32188"/>
    <cellStyle name="Suma 2 21 8 3" xfId="32189"/>
    <cellStyle name="Suma 2 21 8 4" xfId="32190"/>
    <cellStyle name="Suma 2 21 9" xfId="32191"/>
    <cellStyle name="Suma 2 21 9 2" xfId="32192"/>
    <cellStyle name="Suma 2 21 9 3" xfId="32193"/>
    <cellStyle name="Suma 2 21 9 4" xfId="32194"/>
    <cellStyle name="Suma 2 22" xfId="32195"/>
    <cellStyle name="Suma 2 22 10" xfId="32196"/>
    <cellStyle name="Suma 2 22 10 2" xfId="32197"/>
    <cellStyle name="Suma 2 22 10 3" xfId="32198"/>
    <cellStyle name="Suma 2 22 10 4" xfId="32199"/>
    <cellStyle name="Suma 2 22 11" xfId="32200"/>
    <cellStyle name="Suma 2 22 11 2" xfId="32201"/>
    <cellStyle name="Suma 2 22 11 3" xfId="32202"/>
    <cellStyle name="Suma 2 22 11 4" xfId="32203"/>
    <cellStyle name="Suma 2 22 12" xfId="32204"/>
    <cellStyle name="Suma 2 22 12 2" xfId="32205"/>
    <cellStyle name="Suma 2 22 12 3" xfId="32206"/>
    <cellStyle name="Suma 2 22 12 4" xfId="32207"/>
    <cellStyle name="Suma 2 22 13" xfId="32208"/>
    <cellStyle name="Suma 2 22 13 2" xfId="32209"/>
    <cellStyle name="Suma 2 22 13 3" xfId="32210"/>
    <cellStyle name="Suma 2 22 13 4" xfId="32211"/>
    <cellStyle name="Suma 2 22 14" xfId="32212"/>
    <cellStyle name="Suma 2 22 14 2" xfId="32213"/>
    <cellStyle name="Suma 2 22 14 3" xfId="32214"/>
    <cellStyle name="Suma 2 22 14 4" xfId="32215"/>
    <cellStyle name="Suma 2 22 15" xfId="32216"/>
    <cellStyle name="Suma 2 22 15 2" xfId="32217"/>
    <cellStyle name="Suma 2 22 15 3" xfId="32218"/>
    <cellStyle name="Suma 2 22 15 4" xfId="32219"/>
    <cellStyle name="Suma 2 22 16" xfId="32220"/>
    <cellStyle name="Suma 2 22 16 2" xfId="32221"/>
    <cellStyle name="Suma 2 22 16 3" xfId="32222"/>
    <cellStyle name="Suma 2 22 16 4" xfId="32223"/>
    <cellStyle name="Suma 2 22 17" xfId="32224"/>
    <cellStyle name="Suma 2 22 17 2" xfId="32225"/>
    <cellStyle name="Suma 2 22 17 3" xfId="32226"/>
    <cellStyle name="Suma 2 22 17 4" xfId="32227"/>
    <cellStyle name="Suma 2 22 18" xfId="32228"/>
    <cellStyle name="Suma 2 22 18 2" xfId="32229"/>
    <cellStyle name="Suma 2 22 18 3" xfId="32230"/>
    <cellStyle name="Suma 2 22 18 4" xfId="32231"/>
    <cellStyle name="Suma 2 22 19" xfId="32232"/>
    <cellStyle name="Suma 2 22 19 2" xfId="32233"/>
    <cellStyle name="Suma 2 22 19 3" xfId="32234"/>
    <cellStyle name="Suma 2 22 19 4" xfId="32235"/>
    <cellStyle name="Suma 2 22 2" xfId="32236"/>
    <cellStyle name="Suma 2 22 2 2" xfId="32237"/>
    <cellStyle name="Suma 2 22 2 3" xfId="32238"/>
    <cellStyle name="Suma 2 22 2 4" xfId="32239"/>
    <cellStyle name="Suma 2 22 20" xfId="32240"/>
    <cellStyle name="Suma 2 22 20 2" xfId="32241"/>
    <cellStyle name="Suma 2 22 20 3" xfId="32242"/>
    <cellStyle name="Suma 2 22 20 4" xfId="32243"/>
    <cellStyle name="Suma 2 22 21" xfId="32244"/>
    <cellStyle name="Suma 2 22 21 2" xfId="32245"/>
    <cellStyle name="Suma 2 22 21 3" xfId="32246"/>
    <cellStyle name="Suma 2 22 22" xfId="32247"/>
    <cellStyle name="Suma 2 22 22 2" xfId="32248"/>
    <cellStyle name="Suma 2 22 22 3" xfId="32249"/>
    <cellStyle name="Suma 2 22 23" xfId="32250"/>
    <cellStyle name="Suma 2 22 23 2" xfId="32251"/>
    <cellStyle name="Suma 2 22 23 3" xfId="32252"/>
    <cellStyle name="Suma 2 22 24" xfId="32253"/>
    <cellStyle name="Suma 2 22 24 2" xfId="32254"/>
    <cellStyle name="Suma 2 22 24 3" xfId="32255"/>
    <cellStyle name="Suma 2 22 25" xfId="32256"/>
    <cellStyle name="Suma 2 22 25 2" xfId="32257"/>
    <cellStyle name="Suma 2 22 25 3" xfId="32258"/>
    <cellStyle name="Suma 2 22 26" xfId="32259"/>
    <cellStyle name="Suma 2 22 26 2" xfId="32260"/>
    <cellStyle name="Suma 2 22 26 3" xfId="32261"/>
    <cellStyle name="Suma 2 22 27" xfId="32262"/>
    <cellStyle name="Suma 2 22 27 2" xfId="32263"/>
    <cellStyle name="Suma 2 22 27 3" xfId="32264"/>
    <cellStyle name="Suma 2 22 28" xfId="32265"/>
    <cellStyle name="Suma 2 22 28 2" xfId="32266"/>
    <cellStyle name="Suma 2 22 28 3" xfId="32267"/>
    <cellStyle name="Suma 2 22 29" xfId="32268"/>
    <cellStyle name="Suma 2 22 29 2" xfId="32269"/>
    <cellStyle name="Suma 2 22 29 3" xfId="32270"/>
    <cellStyle name="Suma 2 22 3" xfId="32271"/>
    <cellStyle name="Suma 2 22 3 2" xfId="32272"/>
    <cellStyle name="Suma 2 22 3 3" xfId="32273"/>
    <cellStyle name="Suma 2 22 3 4" xfId="32274"/>
    <cellStyle name="Suma 2 22 30" xfId="32275"/>
    <cellStyle name="Suma 2 22 30 2" xfId="32276"/>
    <cellStyle name="Suma 2 22 30 3" xfId="32277"/>
    <cellStyle name="Suma 2 22 31" xfId="32278"/>
    <cellStyle name="Suma 2 22 31 2" xfId="32279"/>
    <cellStyle name="Suma 2 22 31 3" xfId="32280"/>
    <cellStyle name="Suma 2 22 32" xfId="32281"/>
    <cellStyle name="Suma 2 22 32 2" xfId="32282"/>
    <cellStyle name="Suma 2 22 32 3" xfId="32283"/>
    <cellStyle name="Suma 2 22 33" xfId="32284"/>
    <cellStyle name="Suma 2 22 33 2" xfId="32285"/>
    <cellStyle name="Suma 2 22 33 3" xfId="32286"/>
    <cellStyle name="Suma 2 22 34" xfId="32287"/>
    <cellStyle name="Suma 2 22 34 2" xfId="32288"/>
    <cellStyle name="Suma 2 22 34 3" xfId="32289"/>
    <cellStyle name="Suma 2 22 35" xfId="32290"/>
    <cellStyle name="Suma 2 22 35 2" xfId="32291"/>
    <cellStyle name="Suma 2 22 35 3" xfId="32292"/>
    <cellStyle name="Suma 2 22 36" xfId="32293"/>
    <cellStyle name="Suma 2 22 36 2" xfId="32294"/>
    <cellStyle name="Suma 2 22 36 3" xfId="32295"/>
    <cellStyle name="Suma 2 22 37" xfId="32296"/>
    <cellStyle name="Suma 2 22 37 2" xfId="32297"/>
    <cellStyle name="Suma 2 22 37 3" xfId="32298"/>
    <cellStyle name="Suma 2 22 38" xfId="32299"/>
    <cellStyle name="Suma 2 22 38 2" xfId="32300"/>
    <cellStyle name="Suma 2 22 38 3" xfId="32301"/>
    <cellStyle name="Suma 2 22 39" xfId="32302"/>
    <cellStyle name="Suma 2 22 39 2" xfId="32303"/>
    <cellStyle name="Suma 2 22 39 3" xfId="32304"/>
    <cellStyle name="Suma 2 22 4" xfId="32305"/>
    <cellStyle name="Suma 2 22 4 2" xfId="32306"/>
    <cellStyle name="Suma 2 22 4 3" xfId="32307"/>
    <cellStyle name="Suma 2 22 4 4" xfId="32308"/>
    <cellStyle name="Suma 2 22 40" xfId="32309"/>
    <cellStyle name="Suma 2 22 40 2" xfId="32310"/>
    <cellStyle name="Suma 2 22 40 3" xfId="32311"/>
    <cellStyle name="Suma 2 22 41" xfId="32312"/>
    <cellStyle name="Suma 2 22 41 2" xfId="32313"/>
    <cellStyle name="Suma 2 22 41 3" xfId="32314"/>
    <cellStyle name="Suma 2 22 42" xfId="32315"/>
    <cellStyle name="Suma 2 22 42 2" xfId="32316"/>
    <cellStyle name="Suma 2 22 42 3" xfId="32317"/>
    <cellStyle name="Suma 2 22 43" xfId="32318"/>
    <cellStyle name="Suma 2 22 43 2" xfId="32319"/>
    <cellStyle name="Suma 2 22 43 3" xfId="32320"/>
    <cellStyle name="Suma 2 22 44" xfId="32321"/>
    <cellStyle name="Suma 2 22 44 2" xfId="32322"/>
    <cellStyle name="Suma 2 22 44 3" xfId="32323"/>
    <cellStyle name="Suma 2 22 45" xfId="32324"/>
    <cellStyle name="Suma 2 22 45 2" xfId="32325"/>
    <cellStyle name="Suma 2 22 45 3" xfId="32326"/>
    <cellStyle name="Suma 2 22 46" xfId="32327"/>
    <cellStyle name="Suma 2 22 46 2" xfId="32328"/>
    <cellStyle name="Suma 2 22 46 3" xfId="32329"/>
    <cellStyle name="Suma 2 22 47" xfId="32330"/>
    <cellStyle name="Suma 2 22 47 2" xfId="32331"/>
    <cellStyle name="Suma 2 22 47 3" xfId="32332"/>
    <cellStyle name="Suma 2 22 48" xfId="32333"/>
    <cellStyle name="Suma 2 22 48 2" xfId="32334"/>
    <cellStyle name="Suma 2 22 48 3" xfId="32335"/>
    <cellStyle name="Suma 2 22 49" xfId="32336"/>
    <cellStyle name="Suma 2 22 49 2" xfId="32337"/>
    <cellStyle name="Suma 2 22 49 3" xfId="32338"/>
    <cellStyle name="Suma 2 22 5" xfId="32339"/>
    <cellStyle name="Suma 2 22 5 2" xfId="32340"/>
    <cellStyle name="Suma 2 22 5 3" xfId="32341"/>
    <cellStyle name="Suma 2 22 5 4" xfId="32342"/>
    <cellStyle name="Suma 2 22 50" xfId="32343"/>
    <cellStyle name="Suma 2 22 50 2" xfId="32344"/>
    <cellStyle name="Suma 2 22 50 3" xfId="32345"/>
    <cellStyle name="Suma 2 22 51" xfId="32346"/>
    <cellStyle name="Suma 2 22 51 2" xfId="32347"/>
    <cellStyle name="Suma 2 22 51 3" xfId="32348"/>
    <cellStyle name="Suma 2 22 52" xfId="32349"/>
    <cellStyle name="Suma 2 22 52 2" xfId="32350"/>
    <cellStyle name="Suma 2 22 52 3" xfId="32351"/>
    <cellStyle name="Suma 2 22 53" xfId="32352"/>
    <cellStyle name="Suma 2 22 53 2" xfId="32353"/>
    <cellStyle name="Suma 2 22 53 3" xfId="32354"/>
    <cellStyle name="Suma 2 22 54" xfId="32355"/>
    <cellStyle name="Suma 2 22 54 2" xfId="32356"/>
    <cellStyle name="Suma 2 22 54 3" xfId="32357"/>
    <cellStyle name="Suma 2 22 55" xfId="32358"/>
    <cellStyle name="Suma 2 22 55 2" xfId="32359"/>
    <cellStyle name="Suma 2 22 55 3" xfId="32360"/>
    <cellStyle name="Suma 2 22 56" xfId="32361"/>
    <cellStyle name="Suma 2 22 56 2" xfId="32362"/>
    <cellStyle name="Suma 2 22 56 3" xfId="32363"/>
    <cellStyle name="Suma 2 22 57" xfId="32364"/>
    <cellStyle name="Suma 2 22 58" xfId="32365"/>
    <cellStyle name="Suma 2 22 6" xfId="32366"/>
    <cellStyle name="Suma 2 22 6 2" xfId="32367"/>
    <cellStyle name="Suma 2 22 6 3" xfId="32368"/>
    <cellStyle name="Suma 2 22 6 4" xfId="32369"/>
    <cellStyle name="Suma 2 22 7" xfId="32370"/>
    <cellStyle name="Suma 2 22 7 2" xfId="32371"/>
    <cellStyle name="Suma 2 22 7 3" xfId="32372"/>
    <cellStyle name="Suma 2 22 7 4" xfId="32373"/>
    <cellStyle name="Suma 2 22 8" xfId="32374"/>
    <cellStyle name="Suma 2 22 8 2" xfId="32375"/>
    <cellStyle name="Suma 2 22 8 3" xfId="32376"/>
    <cellStyle name="Suma 2 22 8 4" xfId="32377"/>
    <cellStyle name="Suma 2 22 9" xfId="32378"/>
    <cellStyle name="Suma 2 22 9 2" xfId="32379"/>
    <cellStyle name="Suma 2 22 9 3" xfId="32380"/>
    <cellStyle name="Suma 2 22 9 4" xfId="32381"/>
    <cellStyle name="Suma 2 23" xfId="32382"/>
    <cellStyle name="Suma 2 23 10" xfId="32383"/>
    <cellStyle name="Suma 2 23 10 2" xfId="32384"/>
    <cellStyle name="Suma 2 23 10 3" xfId="32385"/>
    <cellStyle name="Suma 2 23 10 4" xfId="32386"/>
    <cellStyle name="Suma 2 23 11" xfId="32387"/>
    <cellStyle name="Suma 2 23 11 2" xfId="32388"/>
    <cellStyle name="Suma 2 23 11 3" xfId="32389"/>
    <cellStyle name="Suma 2 23 11 4" xfId="32390"/>
    <cellStyle name="Suma 2 23 12" xfId="32391"/>
    <cellStyle name="Suma 2 23 12 2" xfId="32392"/>
    <cellStyle name="Suma 2 23 12 3" xfId="32393"/>
    <cellStyle name="Suma 2 23 12 4" xfId="32394"/>
    <cellStyle name="Suma 2 23 13" xfId="32395"/>
    <cellStyle name="Suma 2 23 13 2" xfId="32396"/>
    <cellStyle name="Suma 2 23 13 3" xfId="32397"/>
    <cellStyle name="Suma 2 23 13 4" xfId="32398"/>
    <cellStyle name="Suma 2 23 14" xfId="32399"/>
    <cellStyle name="Suma 2 23 14 2" xfId="32400"/>
    <cellStyle name="Suma 2 23 14 3" xfId="32401"/>
    <cellStyle name="Suma 2 23 14 4" xfId="32402"/>
    <cellStyle name="Suma 2 23 15" xfId="32403"/>
    <cellStyle name="Suma 2 23 15 2" xfId="32404"/>
    <cellStyle name="Suma 2 23 15 3" xfId="32405"/>
    <cellStyle name="Suma 2 23 15 4" xfId="32406"/>
    <cellStyle name="Suma 2 23 16" xfId="32407"/>
    <cellStyle name="Suma 2 23 16 2" xfId="32408"/>
    <cellStyle name="Suma 2 23 16 3" xfId="32409"/>
    <cellStyle name="Suma 2 23 16 4" xfId="32410"/>
    <cellStyle name="Suma 2 23 17" xfId="32411"/>
    <cellStyle name="Suma 2 23 17 2" xfId="32412"/>
    <cellStyle name="Suma 2 23 17 3" xfId="32413"/>
    <cellStyle name="Suma 2 23 17 4" xfId="32414"/>
    <cellStyle name="Suma 2 23 18" xfId="32415"/>
    <cellStyle name="Suma 2 23 18 2" xfId="32416"/>
    <cellStyle name="Suma 2 23 18 3" xfId="32417"/>
    <cellStyle name="Suma 2 23 18 4" xfId="32418"/>
    <cellStyle name="Suma 2 23 19" xfId="32419"/>
    <cellStyle name="Suma 2 23 19 2" xfId="32420"/>
    <cellStyle name="Suma 2 23 19 3" xfId="32421"/>
    <cellStyle name="Suma 2 23 19 4" xfId="32422"/>
    <cellStyle name="Suma 2 23 2" xfId="32423"/>
    <cellStyle name="Suma 2 23 2 2" xfId="32424"/>
    <cellStyle name="Suma 2 23 2 3" xfId="32425"/>
    <cellStyle name="Suma 2 23 2 4" xfId="32426"/>
    <cellStyle name="Suma 2 23 20" xfId="32427"/>
    <cellStyle name="Suma 2 23 20 2" xfId="32428"/>
    <cellStyle name="Suma 2 23 20 3" xfId="32429"/>
    <cellStyle name="Suma 2 23 20 4" xfId="32430"/>
    <cellStyle name="Suma 2 23 21" xfId="32431"/>
    <cellStyle name="Suma 2 23 21 2" xfId="32432"/>
    <cellStyle name="Suma 2 23 21 3" xfId="32433"/>
    <cellStyle name="Suma 2 23 22" xfId="32434"/>
    <cellStyle name="Suma 2 23 22 2" xfId="32435"/>
    <cellStyle name="Suma 2 23 22 3" xfId="32436"/>
    <cellStyle name="Suma 2 23 23" xfId="32437"/>
    <cellStyle name="Suma 2 23 23 2" xfId="32438"/>
    <cellStyle name="Suma 2 23 23 3" xfId="32439"/>
    <cellStyle name="Suma 2 23 24" xfId="32440"/>
    <cellStyle name="Suma 2 23 24 2" xfId="32441"/>
    <cellStyle name="Suma 2 23 24 3" xfId="32442"/>
    <cellStyle name="Suma 2 23 25" xfId="32443"/>
    <cellStyle name="Suma 2 23 25 2" xfId="32444"/>
    <cellStyle name="Suma 2 23 25 3" xfId="32445"/>
    <cellStyle name="Suma 2 23 26" xfId="32446"/>
    <cellStyle name="Suma 2 23 26 2" xfId="32447"/>
    <cellStyle name="Suma 2 23 26 3" xfId="32448"/>
    <cellStyle name="Suma 2 23 27" xfId="32449"/>
    <cellStyle name="Suma 2 23 27 2" xfId="32450"/>
    <cellStyle name="Suma 2 23 27 3" xfId="32451"/>
    <cellStyle name="Suma 2 23 28" xfId="32452"/>
    <cellStyle name="Suma 2 23 28 2" xfId="32453"/>
    <cellStyle name="Suma 2 23 28 3" xfId="32454"/>
    <cellStyle name="Suma 2 23 29" xfId="32455"/>
    <cellStyle name="Suma 2 23 29 2" xfId="32456"/>
    <cellStyle name="Suma 2 23 29 3" xfId="32457"/>
    <cellStyle name="Suma 2 23 3" xfId="32458"/>
    <cellStyle name="Suma 2 23 3 2" xfId="32459"/>
    <cellStyle name="Suma 2 23 3 3" xfId="32460"/>
    <cellStyle name="Suma 2 23 3 4" xfId="32461"/>
    <cellStyle name="Suma 2 23 30" xfId="32462"/>
    <cellStyle name="Suma 2 23 30 2" xfId="32463"/>
    <cellStyle name="Suma 2 23 30 3" xfId="32464"/>
    <cellStyle name="Suma 2 23 31" xfId="32465"/>
    <cellStyle name="Suma 2 23 31 2" xfId="32466"/>
    <cellStyle name="Suma 2 23 31 3" xfId="32467"/>
    <cellStyle name="Suma 2 23 32" xfId="32468"/>
    <cellStyle name="Suma 2 23 32 2" xfId="32469"/>
    <cellStyle name="Suma 2 23 32 3" xfId="32470"/>
    <cellStyle name="Suma 2 23 33" xfId="32471"/>
    <cellStyle name="Suma 2 23 33 2" xfId="32472"/>
    <cellStyle name="Suma 2 23 33 3" xfId="32473"/>
    <cellStyle name="Suma 2 23 34" xfId="32474"/>
    <cellStyle name="Suma 2 23 34 2" xfId="32475"/>
    <cellStyle name="Suma 2 23 34 3" xfId="32476"/>
    <cellStyle name="Suma 2 23 35" xfId="32477"/>
    <cellStyle name="Suma 2 23 35 2" xfId="32478"/>
    <cellStyle name="Suma 2 23 35 3" xfId="32479"/>
    <cellStyle name="Suma 2 23 36" xfId="32480"/>
    <cellStyle name="Suma 2 23 36 2" xfId="32481"/>
    <cellStyle name="Suma 2 23 36 3" xfId="32482"/>
    <cellStyle name="Suma 2 23 37" xfId="32483"/>
    <cellStyle name="Suma 2 23 37 2" xfId="32484"/>
    <cellStyle name="Suma 2 23 37 3" xfId="32485"/>
    <cellStyle name="Suma 2 23 38" xfId="32486"/>
    <cellStyle name="Suma 2 23 38 2" xfId="32487"/>
    <cellStyle name="Suma 2 23 38 3" xfId="32488"/>
    <cellStyle name="Suma 2 23 39" xfId="32489"/>
    <cellStyle name="Suma 2 23 39 2" xfId="32490"/>
    <cellStyle name="Suma 2 23 39 3" xfId="32491"/>
    <cellStyle name="Suma 2 23 4" xfId="32492"/>
    <cellStyle name="Suma 2 23 4 2" xfId="32493"/>
    <cellStyle name="Suma 2 23 4 3" xfId="32494"/>
    <cellStyle name="Suma 2 23 4 4" xfId="32495"/>
    <cellStyle name="Suma 2 23 40" xfId="32496"/>
    <cellStyle name="Suma 2 23 40 2" xfId="32497"/>
    <cellStyle name="Suma 2 23 40 3" xfId="32498"/>
    <cellStyle name="Suma 2 23 41" xfId="32499"/>
    <cellStyle name="Suma 2 23 41 2" xfId="32500"/>
    <cellStyle name="Suma 2 23 41 3" xfId="32501"/>
    <cellStyle name="Suma 2 23 42" xfId="32502"/>
    <cellStyle name="Suma 2 23 42 2" xfId="32503"/>
    <cellStyle name="Suma 2 23 42 3" xfId="32504"/>
    <cellStyle name="Suma 2 23 43" xfId="32505"/>
    <cellStyle name="Suma 2 23 43 2" xfId="32506"/>
    <cellStyle name="Suma 2 23 43 3" xfId="32507"/>
    <cellStyle name="Suma 2 23 44" xfId="32508"/>
    <cellStyle name="Suma 2 23 44 2" xfId="32509"/>
    <cellStyle name="Suma 2 23 44 3" xfId="32510"/>
    <cellStyle name="Suma 2 23 45" xfId="32511"/>
    <cellStyle name="Suma 2 23 45 2" xfId="32512"/>
    <cellStyle name="Suma 2 23 45 3" xfId="32513"/>
    <cellStyle name="Suma 2 23 46" xfId="32514"/>
    <cellStyle name="Suma 2 23 46 2" xfId="32515"/>
    <cellStyle name="Suma 2 23 46 3" xfId="32516"/>
    <cellStyle name="Suma 2 23 47" xfId="32517"/>
    <cellStyle name="Suma 2 23 47 2" xfId="32518"/>
    <cellStyle name="Suma 2 23 47 3" xfId="32519"/>
    <cellStyle name="Suma 2 23 48" xfId="32520"/>
    <cellStyle name="Suma 2 23 48 2" xfId="32521"/>
    <cellStyle name="Suma 2 23 48 3" xfId="32522"/>
    <cellStyle name="Suma 2 23 49" xfId="32523"/>
    <cellStyle name="Suma 2 23 49 2" xfId="32524"/>
    <cellStyle name="Suma 2 23 49 3" xfId="32525"/>
    <cellStyle name="Suma 2 23 5" xfId="32526"/>
    <cellStyle name="Suma 2 23 5 2" xfId="32527"/>
    <cellStyle name="Suma 2 23 5 3" xfId="32528"/>
    <cellStyle name="Suma 2 23 5 4" xfId="32529"/>
    <cellStyle name="Suma 2 23 50" xfId="32530"/>
    <cellStyle name="Suma 2 23 50 2" xfId="32531"/>
    <cellStyle name="Suma 2 23 50 3" xfId="32532"/>
    <cellStyle name="Suma 2 23 51" xfId="32533"/>
    <cellStyle name="Suma 2 23 51 2" xfId="32534"/>
    <cellStyle name="Suma 2 23 51 3" xfId="32535"/>
    <cellStyle name="Suma 2 23 52" xfId="32536"/>
    <cellStyle name="Suma 2 23 52 2" xfId="32537"/>
    <cellStyle name="Suma 2 23 52 3" xfId="32538"/>
    <cellStyle name="Suma 2 23 53" xfId="32539"/>
    <cellStyle name="Suma 2 23 53 2" xfId="32540"/>
    <cellStyle name="Suma 2 23 53 3" xfId="32541"/>
    <cellStyle name="Suma 2 23 54" xfId="32542"/>
    <cellStyle name="Suma 2 23 54 2" xfId="32543"/>
    <cellStyle name="Suma 2 23 54 3" xfId="32544"/>
    <cellStyle name="Suma 2 23 55" xfId="32545"/>
    <cellStyle name="Suma 2 23 55 2" xfId="32546"/>
    <cellStyle name="Suma 2 23 55 3" xfId="32547"/>
    <cellStyle name="Suma 2 23 56" xfId="32548"/>
    <cellStyle name="Suma 2 23 56 2" xfId="32549"/>
    <cellStyle name="Suma 2 23 56 3" xfId="32550"/>
    <cellStyle name="Suma 2 23 57" xfId="32551"/>
    <cellStyle name="Suma 2 23 58" xfId="32552"/>
    <cellStyle name="Suma 2 23 6" xfId="32553"/>
    <cellStyle name="Suma 2 23 6 2" xfId="32554"/>
    <cellStyle name="Suma 2 23 6 3" xfId="32555"/>
    <cellStyle name="Suma 2 23 6 4" xfId="32556"/>
    <cellStyle name="Suma 2 23 7" xfId="32557"/>
    <cellStyle name="Suma 2 23 7 2" xfId="32558"/>
    <cellStyle name="Suma 2 23 7 3" xfId="32559"/>
    <cellStyle name="Suma 2 23 7 4" xfId="32560"/>
    <cellStyle name="Suma 2 23 8" xfId="32561"/>
    <cellStyle name="Suma 2 23 8 2" xfId="32562"/>
    <cellStyle name="Suma 2 23 8 3" xfId="32563"/>
    <cellStyle name="Suma 2 23 8 4" xfId="32564"/>
    <cellStyle name="Suma 2 23 9" xfId="32565"/>
    <cellStyle name="Suma 2 23 9 2" xfId="32566"/>
    <cellStyle name="Suma 2 23 9 3" xfId="32567"/>
    <cellStyle name="Suma 2 23 9 4" xfId="32568"/>
    <cellStyle name="Suma 2 24" xfId="32569"/>
    <cellStyle name="Suma 2 24 10" xfId="32570"/>
    <cellStyle name="Suma 2 24 10 2" xfId="32571"/>
    <cellStyle name="Suma 2 24 10 3" xfId="32572"/>
    <cellStyle name="Suma 2 24 10 4" xfId="32573"/>
    <cellStyle name="Suma 2 24 11" xfId="32574"/>
    <cellStyle name="Suma 2 24 11 2" xfId="32575"/>
    <cellStyle name="Suma 2 24 11 3" xfId="32576"/>
    <cellStyle name="Suma 2 24 11 4" xfId="32577"/>
    <cellStyle name="Suma 2 24 12" xfId="32578"/>
    <cellStyle name="Suma 2 24 12 2" xfId="32579"/>
    <cellStyle name="Suma 2 24 12 3" xfId="32580"/>
    <cellStyle name="Suma 2 24 12 4" xfId="32581"/>
    <cellStyle name="Suma 2 24 13" xfId="32582"/>
    <cellStyle name="Suma 2 24 13 2" xfId="32583"/>
    <cellStyle name="Suma 2 24 13 3" xfId="32584"/>
    <cellStyle name="Suma 2 24 13 4" xfId="32585"/>
    <cellStyle name="Suma 2 24 14" xfId="32586"/>
    <cellStyle name="Suma 2 24 14 2" xfId="32587"/>
    <cellStyle name="Suma 2 24 14 3" xfId="32588"/>
    <cellStyle name="Suma 2 24 14 4" xfId="32589"/>
    <cellStyle name="Suma 2 24 15" xfId="32590"/>
    <cellStyle name="Suma 2 24 15 2" xfId="32591"/>
    <cellStyle name="Suma 2 24 15 3" xfId="32592"/>
    <cellStyle name="Suma 2 24 15 4" xfId="32593"/>
    <cellStyle name="Suma 2 24 16" xfId="32594"/>
    <cellStyle name="Suma 2 24 16 2" xfId="32595"/>
    <cellStyle name="Suma 2 24 16 3" xfId="32596"/>
    <cellStyle name="Suma 2 24 16 4" xfId="32597"/>
    <cellStyle name="Suma 2 24 17" xfId="32598"/>
    <cellStyle name="Suma 2 24 17 2" xfId="32599"/>
    <cellStyle name="Suma 2 24 17 3" xfId="32600"/>
    <cellStyle name="Suma 2 24 17 4" xfId="32601"/>
    <cellStyle name="Suma 2 24 18" xfId="32602"/>
    <cellStyle name="Suma 2 24 18 2" xfId="32603"/>
    <cellStyle name="Suma 2 24 18 3" xfId="32604"/>
    <cellStyle name="Suma 2 24 18 4" xfId="32605"/>
    <cellStyle name="Suma 2 24 19" xfId="32606"/>
    <cellStyle name="Suma 2 24 19 2" xfId="32607"/>
    <cellStyle name="Suma 2 24 19 3" xfId="32608"/>
    <cellStyle name="Suma 2 24 19 4" xfId="32609"/>
    <cellStyle name="Suma 2 24 2" xfId="32610"/>
    <cellStyle name="Suma 2 24 2 2" xfId="32611"/>
    <cellStyle name="Suma 2 24 2 3" xfId="32612"/>
    <cellStyle name="Suma 2 24 2 4" xfId="32613"/>
    <cellStyle name="Suma 2 24 20" xfId="32614"/>
    <cellStyle name="Suma 2 24 20 2" xfId="32615"/>
    <cellStyle name="Suma 2 24 20 3" xfId="32616"/>
    <cellStyle name="Suma 2 24 20 4" xfId="32617"/>
    <cellStyle name="Suma 2 24 21" xfId="32618"/>
    <cellStyle name="Suma 2 24 21 2" xfId="32619"/>
    <cellStyle name="Suma 2 24 21 3" xfId="32620"/>
    <cellStyle name="Suma 2 24 22" xfId="32621"/>
    <cellStyle name="Suma 2 24 22 2" xfId="32622"/>
    <cellStyle name="Suma 2 24 22 3" xfId="32623"/>
    <cellStyle name="Suma 2 24 23" xfId="32624"/>
    <cellStyle name="Suma 2 24 23 2" xfId="32625"/>
    <cellStyle name="Suma 2 24 23 3" xfId="32626"/>
    <cellStyle name="Suma 2 24 24" xfId="32627"/>
    <cellStyle name="Suma 2 24 24 2" xfId="32628"/>
    <cellStyle name="Suma 2 24 24 3" xfId="32629"/>
    <cellStyle name="Suma 2 24 25" xfId="32630"/>
    <cellStyle name="Suma 2 24 25 2" xfId="32631"/>
    <cellStyle name="Suma 2 24 25 3" xfId="32632"/>
    <cellStyle name="Suma 2 24 26" xfId="32633"/>
    <cellStyle name="Suma 2 24 26 2" xfId="32634"/>
    <cellStyle name="Suma 2 24 26 3" xfId="32635"/>
    <cellStyle name="Suma 2 24 27" xfId="32636"/>
    <cellStyle name="Suma 2 24 27 2" xfId="32637"/>
    <cellStyle name="Suma 2 24 27 3" xfId="32638"/>
    <cellStyle name="Suma 2 24 28" xfId="32639"/>
    <cellStyle name="Suma 2 24 28 2" xfId="32640"/>
    <cellStyle name="Suma 2 24 28 3" xfId="32641"/>
    <cellStyle name="Suma 2 24 29" xfId="32642"/>
    <cellStyle name="Suma 2 24 29 2" xfId="32643"/>
    <cellStyle name="Suma 2 24 29 3" xfId="32644"/>
    <cellStyle name="Suma 2 24 3" xfId="32645"/>
    <cellStyle name="Suma 2 24 3 2" xfId="32646"/>
    <cellStyle name="Suma 2 24 3 3" xfId="32647"/>
    <cellStyle name="Suma 2 24 3 4" xfId="32648"/>
    <cellStyle name="Suma 2 24 30" xfId="32649"/>
    <cellStyle name="Suma 2 24 30 2" xfId="32650"/>
    <cellStyle name="Suma 2 24 30 3" xfId="32651"/>
    <cellStyle name="Suma 2 24 31" xfId="32652"/>
    <cellStyle name="Suma 2 24 31 2" xfId="32653"/>
    <cellStyle name="Suma 2 24 31 3" xfId="32654"/>
    <cellStyle name="Suma 2 24 32" xfId="32655"/>
    <cellStyle name="Suma 2 24 32 2" xfId="32656"/>
    <cellStyle name="Suma 2 24 32 3" xfId="32657"/>
    <cellStyle name="Suma 2 24 33" xfId="32658"/>
    <cellStyle name="Suma 2 24 33 2" xfId="32659"/>
    <cellStyle name="Suma 2 24 33 3" xfId="32660"/>
    <cellStyle name="Suma 2 24 34" xfId="32661"/>
    <cellStyle name="Suma 2 24 34 2" xfId="32662"/>
    <cellStyle name="Suma 2 24 34 3" xfId="32663"/>
    <cellStyle name="Suma 2 24 35" xfId="32664"/>
    <cellStyle name="Suma 2 24 35 2" xfId="32665"/>
    <cellStyle name="Suma 2 24 35 3" xfId="32666"/>
    <cellStyle name="Suma 2 24 36" xfId="32667"/>
    <cellStyle name="Suma 2 24 36 2" xfId="32668"/>
    <cellStyle name="Suma 2 24 36 3" xfId="32669"/>
    <cellStyle name="Suma 2 24 37" xfId="32670"/>
    <cellStyle name="Suma 2 24 37 2" xfId="32671"/>
    <cellStyle name="Suma 2 24 37 3" xfId="32672"/>
    <cellStyle name="Suma 2 24 38" xfId="32673"/>
    <cellStyle name="Suma 2 24 38 2" xfId="32674"/>
    <cellStyle name="Suma 2 24 38 3" xfId="32675"/>
    <cellStyle name="Suma 2 24 39" xfId="32676"/>
    <cellStyle name="Suma 2 24 39 2" xfId="32677"/>
    <cellStyle name="Suma 2 24 39 3" xfId="32678"/>
    <cellStyle name="Suma 2 24 4" xfId="32679"/>
    <cellStyle name="Suma 2 24 4 2" xfId="32680"/>
    <cellStyle name="Suma 2 24 4 3" xfId="32681"/>
    <cellStyle name="Suma 2 24 4 4" xfId="32682"/>
    <cellStyle name="Suma 2 24 40" xfId="32683"/>
    <cellStyle name="Suma 2 24 40 2" xfId="32684"/>
    <cellStyle name="Suma 2 24 40 3" xfId="32685"/>
    <cellStyle name="Suma 2 24 41" xfId="32686"/>
    <cellStyle name="Suma 2 24 41 2" xfId="32687"/>
    <cellStyle name="Suma 2 24 41 3" xfId="32688"/>
    <cellStyle name="Suma 2 24 42" xfId="32689"/>
    <cellStyle name="Suma 2 24 42 2" xfId="32690"/>
    <cellStyle name="Suma 2 24 42 3" xfId="32691"/>
    <cellStyle name="Suma 2 24 43" xfId="32692"/>
    <cellStyle name="Suma 2 24 43 2" xfId="32693"/>
    <cellStyle name="Suma 2 24 43 3" xfId="32694"/>
    <cellStyle name="Suma 2 24 44" xfId="32695"/>
    <cellStyle name="Suma 2 24 44 2" xfId="32696"/>
    <cellStyle name="Suma 2 24 44 3" xfId="32697"/>
    <cellStyle name="Suma 2 24 45" xfId="32698"/>
    <cellStyle name="Suma 2 24 45 2" xfId="32699"/>
    <cellStyle name="Suma 2 24 45 3" xfId="32700"/>
    <cellStyle name="Suma 2 24 46" xfId="32701"/>
    <cellStyle name="Suma 2 24 46 2" xfId="32702"/>
    <cellStyle name="Suma 2 24 46 3" xfId="32703"/>
    <cellStyle name="Suma 2 24 47" xfId="32704"/>
    <cellStyle name="Suma 2 24 47 2" xfId="32705"/>
    <cellStyle name="Suma 2 24 47 3" xfId="32706"/>
    <cellStyle name="Suma 2 24 48" xfId="32707"/>
    <cellStyle name="Suma 2 24 48 2" xfId="32708"/>
    <cellStyle name="Suma 2 24 48 3" xfId="32709"/>
    <cellStyle name="Suma 2 24 49" xfId="32710"/>
    <cellStyle name="Suma 2 24 49 2" xfId="32711"/>
    <cellStyle name="Suma 2 24 49 3" xfId="32712"/>
    <cellStyle name="Suma 2 24 5" xfId="32713"/>
    <cellStyle name="Suma 2 24 5 2" xfId="32714"/>
    <cellStyle name="Suma 2 24 5 3" xfId="32715"/>
    <cellStyle name="Suma 2 24 5 4" xfId="32716"/>
    <cellStyle name="Suma 2 24 50" xfId="32717"/>
    <cellStyle name="Suma 2 24 50 2" xfId="32718"/>
    <cellStyle name="Suma 2 24 50 3" xfId="32719"/>
    <cellStyle name="Suma 2 24 51" xfId="32720"/>
    <cellStyle name="Suma 2 24 51 2" xfId="32721"/>
    <cellStyle name="Suma 2 24 51 3" xfId="32722"/>
    <cellStyle name="Suma 2 24 52" xfId="32723"/>
    <cellStyle name="Suma 2 24 52 2" xfId="32724"/>
    <cellStyle name="Suma 2 24 52 3" xfId="32725"/>
    <cellStyle name="Suma 2 24 53" xfId="32726"/>
    <cellStyle name="Suma 2 24 53 2" xfId="32727"/>
    <cellStyle name="Suma 2 24 53 3" xfId="32728"/>
    <cellStyle name="Suma 2 24 54" xfId="32729"/>
    <cellStyle name="Suma 2 24 54 2" xfId="32730"/>
    <cellStyle name="Suma 2 24 54 3" xfId="32731"/>
    <cellStyle name="Suma 2 24 55" xfId="32732"/>
    <cellStyle name="Suma 2 24 55 2" xfId="32733"/>
    <cellStyle name="Suma 2 24 55 3" xfId="32734"/>
    <cellStyle name="Suma 2 24 56" xfId="32735"/>
    <cellStyle name="Suma 2 24 56 2" xfId="32736"/>
    <cellStyle name="Suma 2 24 56 3" xfId="32737"/>
    <cellStyle name="Suma 2 24 57" xfId="32738"/>
    <cellStyle name="Suma 2 24 58" xfId="32739"/>
    <cellStyle name="Suma 2 24 6" xfId="32740"/>
    <cellStyle name="Suma 2 24 6 2" xfId="32741"/>
    <cellStyle name="Suma 2 24 6 3" xfId="32742"/>
    <cellStyle name="Suma 2 24 6 4" xfId="32743"/>
    <cellStyle name="Suma 2 24 7" xfId="32744"/>
    <cellStyle name="Suma 2 24 7 2" xfId="32745"/>
    <cellStyle name="Suma 2 24 7 3" xfId="32746"/>
    <cellStyle name="Suma 2 24 7 4" xfId="32747"/>
    <cellStyle name="Suma 2 24 8" xfId="32748"/>
    <cellStyle name="Suma 2 24 8 2" xfId="32749"/>
    <cellStyle name="Suma 2 24 8 3" xfId="32750"/>
    <cellStyle name="Suma 2 24 8 4" xfId="32751"/>
    <cellStyle name="Suma 2 24 9" xfId="32752"/>
    <cellStyle name="Suma 2 24 9 2" xfId="32753"/>
    <cellStyle name="Suma 2 24 9 3" xfId="32754"/>
    <cellStyle name="Suma 2 24 9 4" xfId="32755"/>
    <cellStyle name="Suma 2 25" xfId="32756"/>
    <cellStyle name="Suma 2 25 10" xfId="32757"/>
    <cellStyle name="Suma 2 25 10 2" xfId="32758"/>
    <cellStyle name="Suma 2 25 10 3" xfId="32759"/>
    <cellStyle name="Suma 2 25 10 4" xfId="32760"/>
    <cellStyle name="Suma 2 25 11" xfId="32761"/>
    <cellStyle name="Suma 2 25 11 2" xfId="32762"/>
    <cellStyle name="Suma 2 25 11 3" xfId="32763"/>
    <cellStyle name="Suma 2 25 11 4" xfId="32764"/>
    <cellStyle name="Suma 2 25 12" xfId="32765"/>
    <cellStyle name="Suma 2 25 12 2" xfId="32766"/>
    <cellStyle name="Suma 2 25 12 3" xfId="32767"/>
    <cellStyle name="Suma 2 25 12 4" xfId="32768"/>
    <cellStyle name="Suma 2 25 13" xfId="32769"/>
    <cellStyle name="Suma 2 25 13 2" xfId="32770"/>
    <cellStyle name="Suma 2 25 13 3" xfId="32771"/>
    <cellStyle name="Suma 2 25 13 4" xfId="32772"/>
    <cellStyle name="Suma 2 25 14" xfId="32773"/>
    <cellStyle name="Suma 2 25 14 2" xfId="32774"/>
    <cellStyle name="Suma 2 25 14 3" xfId="32775"/>
    <cellStyle name="Suma 2 25 14 4" xfId="32776"/>
    <cellStyle name="Suma 2 25 15" xfId="32777"/>
    <cellStyle name="Suma 2 25 15 2" xfId="32778"/>
    <cellStyle name="Suma 2 25 15 3" xfId="32779"/>
    <cellStyle name="Suma 2 25 15 4" xfId="32780"/>
    <cellStyle name="Suma 2 25 16" xfId="32781"/>
    <cellStyle name="Suma 2 25 16 2" xfId="32782"/>
    <cellStyle name="Suma 2 25 16 3" xfId="32783"/>
    <cellStyle name="Suma 2 25 16 4" xfId="32784"/>
    <cellStyle name="Suma 2 25 17" xfId="32785"/>
    <cellStyle name="Suma 2 25 17 2" xfId="32786"/>
    <cellStyle name="Suma 2 25 17 3" xfId="32787"/>
    <cellStyle name="Suma 2 25 17 4" xfId="32788"/>
    <cellStyle name="Suma 2 25 18" xfId="32789"/>
    <cellStyle name="Suma 2 25 18 2" xfId="32790"/>
    <cellStyle name="Suma 2 25 18 3" xfId="32791"/>
    <cellStyle name="Suma 2 25 18 4" xfId="32792"/>
    <cellStyle name="Suma 2 25 19" xfId="32793"/>
    <cellStyle name="Suma 2 25 19 2" xfId="32794"/>
    <cellStyle name="Suma 2 25 19 3" xfId="32795"/>
    <cellStyle name="Suma 2 25 19 4" xfId="32796"/>
    <cellStyle name="Suma 2 25 2" xfId="32797"/>
    <cellStyle name="Suma 2 25 2 2" xfId="32798"/>
    <cellStyle name="Suma 2 25 2 3" xfId="32799"/>
    <cellStyle name="Suma 2 25 2 4" xfId="32800"/>
    <cellStyle name="Suma 2 25 20" xfId="32801"/>
    <cellStyle name="Suma 2 25 20 2" xfId="32802"/>
    <cellStyle name="Suma 2 25 20 3" xfId="32803"/>
    <cellStyle name="Suma 2 25 20 4" xfId="32804"/>
    <cellStyle name="Suma 2 25 21" xfId="32805"/>
    <cellStyle name="Suma 2 25 21 2" xfId="32806"/>
    <cellStyle name="Suma 2 25 21 3" xfId="32807"/>
    <cellStyle name="Suma 2 25 22" xfId="32808"/>
    <cellStyle name="Suma 2 25 22 2" xfId="32809"/>
    <cellStyle name="Suma 2 25 22 3" xfId="32810"/>
    <cellStyle name="Suma 2 25 23" xfId="32811"/>
    <cellStyle name="Suma 2 25 23 2" xfId="32812"/>
    <cellStyle name="Suma 2 25 23 3" xfId="32813"/>
    <cellStyle name="Suma 2 25 24" xfId="32814"/>
    <cellStyle name="Suma 2 25 24 2" xfId="32815"/>
    <cellStyle name="Suma 2 25 24 3" xfId="32816"/>
    <cellStyle name="Suma 2 25 25" xfId="32817"/>
    <cellStyle name="Suma 2 25 25 2" xfId="32818"/>
    <cellStyle name="Suma 2 25 25 3" xfId="32819"/>
    <cellStyle name="Suma 2 25 26" xfId="32820"/>
    <cellStyle name="Suma 2 25 26 2" xfId="32821"/>
    <cellStyle name="Suma 2 25 26 3" xfId="32822"/>
    <cellStyle name="Suma 2 25 27" xfId="32823"/>
    <cellStyle name="Suma 2 25 27 2" xfId="32824"/>
    <cellStyle name="Suma 2 25 27 3" xfId="32825"/>
    <cellStyle name="Suma 2 25 28" xfId="32826"/>
    <cellStyle name="Suma 2 25 28 2" xfId="32827"/>
    <cellStyle name="Suma 2 25 28 3" xfId="32828"/>
    <cellStyle name="Suma 2 25 29" xfId="32829"/>
    <cellStyle name="Suma 2 25 29 2" xfId="32830"/>
    <cellStyle name="Suma 2 25 29 3" xfId="32831"/>
    <cellStyle name="Suma 2 25 3" xfId="32832"/>
    <cellStyle name="Suma 2 25 3 2" xfId="32833"/>
    <cellStyle name="Suma 2 25 3 3" xfId="32834"/>
    <cellStyle name="Suma 2 25 3 4" xfId="32835"/>
    <cellStyle name="Suma 2 25 30" xfId="32836"/>
    <cellStyle name="Suma 2 25 30 2" xfId="32837"/>
    <cellStyle name="Suma 2 25 30 3" xfId="32838"/>
    <cellStyle name="Suma 2 25 31" xfId="32839"/>
    <cellStyle name="Suma 2 25 31 2" xfId="32840"/>
    <cellStyle name="Suma 2 25 31 3" xfId="32841"/>
    <cellStyle name="Suma 2 25 32" xfId="32842"/>
    <cellStyle name="Suma 2 25 32 2" xfId="32843"/>
    <cellStyle name="Suma 2 25 32 3" xfId="32844"/>
    <cellStyle name="Suma 2 25 33" xfId="32845"/>
    <cellStyle name="Suma 2 25 33 2" xfId="32846"/>
    <cellStyle name="Suma 2 25 33 3" xfId="32847"/>
    <cellStyle name="Suma 2 25 34" xfId="32848"/>
    <cellStyle name="Suma 2 25 34 2" xfId="32849"/>
    <cellStyle name="Suma 2 25 34 3" xfId="32850"/>
    <cellStyle name="Suma 2 25 35" xfId="32851"/>
    <cellStyle name="Suma 2 25 35 2" xfId="32852"/>
    <cellStyle name="Suma 2 25 35 3" xfId="32853"/>
    <cellStyle name="Suma 2 25 36" xfId="32854"/>
    <cellStyle name="Suma 2 25 36 2" xfId="32855"/>
    <cellStyle name="Suma 2 25 36 3" xfId="32856"/>
    <cellStyle name="Suma 2 25 37" xfId="32857"/>
    <cellStyle name="Suma 2 25 37 2" xfId="32858"/>
    <cellStyle name="Suma 2 25 37 3" xfId="32859"/>
    <cellStyle name="Suma 2 25 38" xfId="32860"/>
    <cellStyle name="Suma 2 25 38 2" xfId="32861"/>
    <cellStyle name="Suma 2 25 38 3" xfId="32862"/>
    <cellStyle name="Suma 2 25 39" xfId="32863"/>
    <cellStyle name="Suma 2 25 39 2" xfId="32864"/>
    <cellStyle name="Suma 2 25 39 3" xfId="32865"/>
    <cellStyle name="Suma 2 25 4" xfId="32866"/>
    <cellStyle name="Suma 2 25 4 2" xfId="32867"/>
    <cellStyle name="Suma 2 25 4 3" xfId="32868"/>
    <cellStyle name="Suma 2 25 4 4" xfId="32869"/>
    <cellStyle name="Suma 2 25 40" xfId="32870"/>
    <cellStyle name="Suma 2 25 40 2" xfId="32871"/>
    <cellStyle name="Suma 2 25 40 3" xfId="32872"/>
    <cellStyle name="Suma 2 25 41" xfId="32873"/>
    <cellStyle name="Suma 2 25 41 2" xfId="32874"/>
    <cellStyle name="Suma 2 25 41 3" xfId="32875"/>
    <cellStyle name="Suma 2 25 42" xfId="32876"/>
    <cellStyle name="Suma 2 25 42 2" xfId="32877"/>
    <cellStyle name="Suma 2 25 42 3" xfId="32878"/>
    <cellStyle name="Suma 2 25 43" xfId="32879"/>
    <cellStyle name="Suma 2 25 43 2" xfId="32880"/>
    <cellStyle name="Suma 2 25 43 3" xfId="32881"/>
    <cellStyle name="Suma 2 25 44" xfId="32882"/>
    <cellStyle name="Suma 2 25 44 2" xfId="32883"/>
    <cellStyle name="Suma 2 25 44 3" xfId="32884"/>
    <cellStyle name="Suma 2 25 45" xfId="32885"/>
    <cellStyle name="Suma 2 25 45 2" xfId="32886"/>
    <cellStyle name="Suma 2 25 45 3" xfId="32887"/>
    <cellStyle name="Suma 2 25 46" xfId="32888"/>
    <cellStyle name="Suma 2 25 46 2" xfId="32889"/>
    <cellStyle name="Suma 2 25 46 3" xfId="32890"/>
    <cellStyle name="Suma 2 25 47" xfId="32891"/>
    <cellStyle name="Suma 2 25 47 2" xfId="32892"/>
    <cellStyle name="Suma 2 25 47 3" xfId="32893"/>
    <cellStyle name="Suma 2 25 48" xfId="32894"/>
    <cellStyle name="Suma 2 25 48 2" xfId="32895"/>
    <cellStyle name="Suma 2 25 48 3" xfId="32896"/>
    <cellStyle name="Suma 2 25 49" xfId="32897"/>
    <cellStyle name="Suma 2 25 49 2" xfId="32898"/>
    <cellStyle name="Suma 2 25 49 3" xfId="32899"/>
    <cellStyle name="Suma 2 25 5" xfId="32900"/>
    <cellStyle name="Suma 2 25 5 2" xfId="32901"/>
    <cellStyle name="Suma 2 25 5 3" xfId="32902"/>
    <cellStyle name="Suma 2 25 5 4" xfId="32903"/>
    <cellStyle name="Suma 2 25 50" xfId="32904"/>
    <cellStyle name="Suma 2 25 50 2" xfId="32905"/>
    <cellStyle name="Suma 2 25 50 3" xfId="32906"/>
    <cellStyle name="Suma 2 25 51" xfId="32907"/>
    <cellStyle name="Suma 2 25 51 2" xfId="32908"/>
    <cellStyle name="Suma 2 25 51 3" xfId="32909"/>
    <cellStyle name="Suma 2 25 52" xfId="32910"/>
    <cellStyle name="Suma 2 25 52 2" xfId="32911"/>
    <cellStyle name="Suma 2 25 52 3" xfId="32912"/>
    <cellStyle name="Suma 2 25 53" xfId="32913"/>
    <cellStyle name="Suma 2 25 53 2" xfId="32914"/>
    <cellStyle name="Suma 2 25 53 3" xfId="32915"/>
    <cellStyle name="Suma 2 25 54" xfId="32916"/>
    <cellStyle name="Suma 2 25 54 2" xfId="32917"/>
    <cellStyle name="Suma 2 25 54 3" xfId="32918"/>
    <cellStyle name="Suma 2 25 55" xfId="32919"/>
    <cellStyle name="Suma 2 25 55 2" xfId="32920"/>
    <cellStyle name="Suma 2 25 55 3" xfId="32921"/>
    <cellStyle name="Suma 2 25 56" xfId="32922"/>
    <cellStyle name="Suma 2 25 56 2" xfId="32923"/>
    <cellStyle name="Suma 2 25 56 3" xfId="32924"/>
    <cellStyle name="Suma 2 25 57" xfId="32925"/>
    <cellStyle name="Suma 2 25 58" xfId="32926"/>
    <cellStyle name="Suma 2 25 6" xfId="32927"/>
    <cellStyle name="Suma 2 25 6 2" xfId="32928"/>
    <cellStyle name="Suma 2 25 6 3" xfId="32929"/>
    <cellStyle name="Suma 2 25 6 4" xfId="32930"/>
    <cellStyle name="Suma 2 25 7" xfId="32931"/>
    <cellStyle name="Suma 2 25 7 2" xfId="32932"/>
    <cellStyle name="Suma 2 25 7 3" xfId="32933"/>
    <cellStyle name="Suma 2 25 7 4" xfId="32934"/>
    <cellStyle name="Suma 2 25 8" xfId="32935"/>
    <cellStyle name="Suma 2 25 8 2" xfId="32936"/>
    <cellStyle name="Suma 2 25 8 3" xfId="32937"/>
    <cellStyle name="Suma 2 25 8 4" xfId="32938"/>
    <cellStyle name="Suma 2 25 9" xfId="32939"/>
    <cellStyle name="Suma 2 25 9 2" xfId="32940"/>
    <cellStyle name="Suma 2 25 9 3" xfId="32941"/>
    <cellStyle name="Suma 2 25 9 4" xfId="32942"/>
    <cellStyle name="Suma 2 26" xfId="32943"/>
    <cellStyle name="Suma 2 26 10" xfId="32944"/>
    <cellStyle name="Suma 2 26 10 2" xfId="32945"/>
    <cellStyle name="Suma 2 26 10 3" xfId="32946"/>
    <cellStyle name="Suma 2 26 10 4" xfId="32947"/>
    <cellStyle name="Suma 2 26 11" xfId="32948"/>
    <cellStyle name="Suma 2 26 11 2" xfId="32949"/>
    <cellStyle name="Suma 2 26 11 3" xfId="32950"/>
    <cellStyle name="Suma 2 26 11 4" xfId="32951"/>
    <cellStyle name="Suma 2 26 12" xfId="32952"/>
    <cellStyle name="Suma 2 26 12 2" xfId="32953"/>
    <cellStyle name="Suma 2 26 12 3" xfId="32954"/>
    <cellStyle name="Suma 2 26 12 4" xfId="32955"/>
    <cellStyle name="Suma 2 26 13" xfId="32956"/>
    <cellStyle name="Suma 2 26 13 2" xfId="32957"/>
    <cellStyle name="Suma 2 26 13 3" xfId="32958"/>
    <cellStyle name="Suma 2 26 13 4" xfId="32959"/>
    <cellStyle name="Suma 2 26 14" xfId="32960"/>
    <cellStyle name="Suma 2 26 14 2" xfId="32961"/>
    <cellStyle name="Suma 2 26 14 3" xfId="32962"/>
    <cellStyle name="Suma 2 26 14 4" xfId="32963"/>
    <cellStyle name="Suma 2 26 15" xfId="32964"/>
    <cellStyle name="Suma 2 26 15 2" xfId="32965"/>
    <cellStyle name="Suma 2 26 15 3" xfId="32966"/>
    <cellStyle name="Suma 2 26 15 4" xfId="32967"/>
    <cellStyle name="Suma 2 26 16" xfId="32968"/>
    <cellStyle name="Suma 2 26 16 2" xfId="32969"/>
    <cellStyle name="Suma 2 26 16 3" xfId="32970"/>
    <cellStyle name="Suma 2 26 16 4" xfId="32971"/>
    <cellStyle name="Suma 2 26 17" xfId="32972"/>
    <cellStyle name="Suma 2 26 17 2" xfId="32973"/>
    <cellStyle name="Suma 2 26 17 3" xfId="32974"/>
    <cellStyle name="Suma 2 26 17 4" xfId="32975"/>
    <cellStyle name="Suma 2 26 18" xfId="32976"/>
    <cellStyle name="Suma 2 26 18 2" xfId="32977"/>
    <cellStyle name="Suma 2 26 18 3" xfId="32978"/>
    <cellStyle name="Suma 2 26 18 4" xfId="32979"/>
    <cellStyle name="Suma 2 26 19" xfId="32980"/>
    <cellStyle name="Suma 2 26 19 2" xfId="32981"/>
    <cellStyle name="Suma 2 26 19 3" xfId="32982"/>
    <cellStyle name="Suma 2 26 19 4" xfId="32983"/>
    <cellStyle name="Suma 2 26 2" xfId="32984"/>
    <cellStyle name="Suma 2 26 2 2" xfId="32985"/>
    <cellStyle name="Suma 2 26 2 3" xfId="32986"/>
    <cellStyle name="Suma 2 26 2 4" xfId="32987"/>
    <cellStyle name="Suma 2 26 20" xfId="32988"/>
    <cellStyle name="Suma 2 26 20 2" xfId="32989"/>
    <cellStyle name="Suma 2 26 20 3" xfId="32990"/>
    <cellStyle name="Suma 2 26 20 4" xfId="32991"/>
    <cellStyle name="Suma 2 26 21" xfId="32992"/>
    <cellStyle name="Suma 2 26 21 2" xfId="32993"/>
    <cellStyle name="Suma 2 26 21 3" xfId="32994"/>
    <cellStyle name="Suma 2 26 22" xfId="32995"/>
    <cellStyle name="Suma 2 26 22 2" xfId="32996"/>
    <cellStyle name="Suma 2 26 22 3" xfId="32997"/>
    <cellStyle name="Suma 2 26 23" xfId="32998"/>
    <cellStyle name="Suma 2 26 23 2" xfId="32999"/>
    <cellStyle name="Suma 2 26 23 3" xfId="33000"/>
    <cellStyle name="Suma 2 26 24" xfId="33001"/>
    <cellStyle name="Suma 2 26 24 2" xfId="33002"/>
    <cellStyle name="Suma 2 26 24 3" xfId="33003"/>
    <cellStyle name="Suma 2 26 25" xfId="33004"/>
    <cellStyle name="Suma 2 26 25 2" xfId="33005"/>
    <cellStyle name="Suma 2 26 25 3" xfId="33006"/>
    <cellStyle name="Suma 2 26 26" xfId="33007"/>
    <cellStyle name="Suma 2 26 26 2" xfId="33008"/>
    <cellStyle name="Suma 2 26 26 3" xfId="33009"/>
    <cellStyle name="Suma 2 26 27" xfId="33010"/>
    <cellStyle name="Suma 2 26 27 2" xfId="33011"/>
    <cellStyle name="Suma 2 26 27 3" xfId="33012"/>
    <cellStyle name="Suma 2 26 28" xfId="33013"/>
    <cellStyle name="Suma 2 26 28 2" xfId="33014"/>
    <cellStyle name="Suma 2 26 28 3" xfId="33015"/>
    <cellStyle name="Suma 2 26 29" xfId="33016"/>
    <cellStyle name="Suma 2 26 29 2" xfId="33017"/>
    <cellStyle name="Suma 2 26 29 3" xfId="33018"/>
    <cellStyle name="Suma 2 26 3" xfId="33019"/>
    <cellStyle name="Suma 2 26 3 2" xfId="33020"/>
    <cellStyle name="Suma 2 26 3 3" xfId="33021"/>
    <cellStyle name="Suma 2 26 3 4" xfId="33022"/>
    <cellStyle name="Suma 2 26 30" xfId="33023"/>
    <cellStyle name="Suma 2 26 30 2" xfId="33024"/>
    <cellStyle name="Suma 2 26 30 3" xfId="33025"/>
    <cellStyle name="Suma 2 26 31" xfId="33026"/>
    <cellStyle name="Suma 2 26 31 2" xfId="33027"/>
    <cellStyle name="Suma 2 26 31 3" xfId="33028"/>
    <cellStyle name="Suma 2 26 32" xfId="33029"/>
    <cellStyle name="Suma 2 26 32 2" xfId="33030"/>
    <cellStyle name="Suma 2 26 32 3" xfId="33031"/>
    <cellStyle name="Suma 2 26 33" xfId="33032"/>
    <cellStyle name="Suma 2 26 33 2" xfId="33033"/>
    <cellStyle name="Suma 2 26 33 3" xfId="33034"/>
    <cellStyle name="Suma 2 26 34" xfId="33035"/>
    <cellStyle name="Suma 2 26 34 2" xfId="33036"/>
    <cellStyle name="Suma 2 26 34 3" xfId="33037"/>
    <cellStyle name="Suma 2 26 35" xfId="33038"/>
    <cellStyle name="Suma 2 26 35 2" xfId="33039"/>
    <cellStyle name="Suma 2 26 35 3" xfId="33040"/>
    <cellStyle name="Suma 2 26 36" xfId="33041"/>
    <cellStyle name="Suma 2 26 36 2" xfId="33042"/>
    <cellStyle name="Suma 2 26 36 3" xfId="33043"/>
    <cellStyle name="Suma 2 26 37" xfId="33044"/>
    <cellStyle name="Suma 2 26 37 2" xfId="33045"/>
    <cellStyle name="Suma 2 26 37 3" xfId="33046"/>
    <cellStyle name="Suma 2 26 38" xfId="33047"/>
    <cellStyle name="Suma 2 26 38 2" xfId="33048"/>
    <cellStyle name="Suma 2 26 38 3" xfId="33049"/>
    <cellStyle name="Suma 2 26 39" xfId="33050"/>
    <cellStyle name="Suma 2 26 39 2" xfId="33051"/>
    <cellStyle name="Suma 2 26 39 3" xfId="33052"/>
    <cellStyle name="Suma 2 26 4" xfId="33053"/>
    <cellStyle name="Suma 2 26 4 2" xfId="33054"/>
    <cellStyle name="Suma 2 26 4 3" xfId="33055"/>
    <cellStyle name="Suma 2 26 4 4" xfId="33056"/>
    <cellStyle name="Suma 2 26 40" xfId="33057"/>
    <cellStyle name="Suma 2 26 40 2" xfId="33058"/>
    <cellStyle name="Suma 2 26 40 3" xfId="33059"/>
    <cellStyle name="Suma 2 26 41" xfId="33060"/>
    <cellStyle name="Suma 2 26 41 2" xfId="33061"/>
    <cellStyle name="Suma 2 26 41 3" xfId="33062"/>
    <cellStyle name="Suma 2 26 42" xfId="33063"/>
    <cellStyle name="Suma 2 26 42 2" xfId="33064"/>
    <cellStyle name="Suma 2 26 42 3" xfId="33065"/>
    <cellStyle name="Suma 2 26 43" xfId="33066"/>
    <cellStyle name="Suma 2 26 43 2" xfId="33067"/>
    <cellStyle name="Suma 2 26 43 3" xfId="33068"/>
    <cellStyle name="Suma 2 26 44" xfId="33069"/>
    <cellStyle name="Suma 2 26 44 2" xfId="33070"/>
    <cellStyle name="Suma 2 26 44 3" xfId="33071"/>
    <cellStyle name="Suma 2 26 45" xfId="33072"/>
    <cellStyle name="Suma 2 26 45 2" xfId="33073"/>
    <cellStyle name="Suma 2 26 45 3" xfId="33074"/>
    <cellStyle name="Suma 2 26 46" xfId="33075"/>
    <cellStyle name="Suma 2 26 46 2" xfId="33076"/>
    <cellStyle name="Suma 2 26 46 3" xfId="33077"/>
    <cellStyle name="Suma 2 26 47" xfId="33078"/>
    <cellStyle name="Suma 2 26 47 2" xfId="33079"/>
    <cellStyle name="Suma 2 26 47 3" xfId="33080"/>
    <cellStyle name="Suma 2 26 48" xfId="33081"/>
    <cellStyle name="Suma 2 26 48 2" xfId="33082"/>
    <cellStyle name="Suma 2 26 48 3" xfId="33083"/>
    <cellStyle name="Suma 2 26 49" xfId="33084"/>
    <cellStyle name="Suma 2 26 49 2" xfId="33085"/>
    <cellStyle name="Suma 2 26 49 3" xfId="33086"/>
    <cellStyle name="Suma 2 26 5" xfId="33087"/>
    <cellStyle name="Suma 2 26 5 2" xfId="33088"/>
    <cellStyle name="Suma 2 26 5 3" xfId="33089"/>
    <cellStyle name="Suma 2 26 5 4" xfId="33090"/>
    <cellStyle name="Suma 2 26 50" xfId="33091"/>
    <cellStyle name="Suma 2 26 50 2" xfId="33092"/>
    <cellStyle name="Suma 2 26 50 3" xfId="33093"/>
    <cellStyle name="Suma 2 26 51" xfId="33094"/>
    <cellStyle name="Suma 2 26 51 2" xfId="33095"/>
    <cellStyle name="Suma 2 26 51 3" xfId="33096"/>
    <cellStyle name="Suma 2 26 52" xfId="33097"/>
    <cellStyle name="Suma 2 26 52 2" xfId="33098"/>
    <cellStyle name="Suma 2 26 52 3" xfId="33099"/>
    <cellStyle name="Suma 2 26 53" xfId="33100"/>
    <cellStyle name="Suma 2 26 53 2" xfId="33101"/>
    <cellStyle name="Suma 2 26 53 3" xfId="33102"/>
    <cellStyle name="Suma 2 26 54" xfId="33103"/>
    <cellStyle name="Suma 2 26 54 2" xfId="33104"/>
    <cellStyle name="Suma 2 26 54 3" xfId="33105"/>
    <cellStyle name="Suma 2 26 55" xfId="33106"/>
    <cellStyle name="Suma 2 26 55 2" xfId="33107"/>
    <cellStyle name="Suma 2 26 55 3" xfId="33108"/>
    <cellStyle name="Suma 2 26 56" xfId="33109"/>
    <cellStyle name="Suma 2 26 56 2" xfId="33110"/>
    <cellStyle name="Suma 2 26 56 3" xfId="33111"/>
    <cellStyle name="Suma 2 26 57" xfId="33112"/>
    <cellStyle name="Suma 2 26 58" xfId="33113"/>
    <cellStyle name="Suma 2 26 6" xfId="33114"/>
    <cellStyle name="Suma 2 26 6 2" xfId="33115"/>
    <cellStyle name="Suma 2 26 6 3" xfId="33116"/>
    <cellStyle name="Suma 2 26 6 4" xfId="33117"/>
    <cellStyle name="Suma 2 26 7" xfId="33118"/>
    <cellStyle name="Suma 2 26 7 2" xfId="33119"/>
    <cellStyle name="Suma 2 26 7 3" xfId="33120"/>
    <cellStyle name="Suma 2 26 7 4" xfId="33121"/>
    <cellStyle name="Suma 2 26 8" xfId="33122"/>
    <cellStyle name="Suma 2 26 8 2" xfId="33123"/>
    <cellStyle name="Suma 2 26 8 3" xfId="33124"/>
    <cellStyle name="Suma 2 26 8 4" xfId="33125"/>
    <cellStyle name="Suma 2 26 9" xfId="33126"/>
    <cellStyle name="Suma 2 26 9 2" xfId="33127"/>
    <cellStyle name="Suma 2 26 9 3" xfId="33128"/>
    <cellStyle name="Suma 2 26 9 4" xfId="33129"/>
    <cellStyle name="Suma 2 27" xfId="33130"/>
    <cellStyle name="Suma 2 27 10" xfId="33131"/>
    <cellStyle name="Suma 2 27 10 2" xfId="33132"/>
    <cellStyle name="Suma 2 27 10 3" xfId="33133"/>
    <cellStyle name="Suma 2 27 10 4" xfId="33134"/>
    <cellStyle name="Suma 2 27 11" xfId="33135"/>
    <cellStyle name="Suma 2 27 11 2" xfId="33136"/>
    <cellStyle name="Suma 2 27 11 3" xfId="33137"/>
    <cellStyle name="Suma 2 27 11 4" xfId="33138"/>
    <cellStyle name="Suma 2 27 12" xfId="33139"/>
    <cellStyle name="Suma 2 27 12 2" xfId="33140"/>
    <cellStyle name="Suma 2 27 12 3" xfId="33141"/>
    <cellStyle name="Suma 2 27 12 4" xfId="33142"/>
    <cellStyle name="Suma 2 27 13" xfId="33143"/>
    <cellStyle name="Suma 2 27 13 2" xfId="33144"/>
    <cellStyle name="Suma 2 27 13 3" xfId="33145"/>
    <cellStyle name="Suma 2 27 13 4" xfId="33146"/>
    <cellStyle name="Suma 2 27 14" xfId="33147"/>
    <cellStyle name="Suma 2 27 14 2" xfId="33148"/>
    <cellStyle name="Suma 2 27 14 3" xfId="33149"/>
    <cellStyle name="Suma 2 27 14 4" xfId="33150"/>
    <cellStyle name="Suma 2 27 15" xfId="33151"/>
    <cellStyle name="Suma 2 27 15 2" xfId="33152"/>
    <cellStyle name="Suma 2 27 15 3" xfId="33153"/>
    <cellStyle name="Suma 2 27 15 4" xfId="33154"/>
    <cellStyle name="Suma 2 27 16" xfId="33155"/>
    <cellStyle name="Suma 2 27 16 2" xfId="33156"/>
    <cellStyle name="Suma 2 27 16 3" xfId="33157"/>
    <cellStyle name="Suma 2 27 16 4" xfId="33158"/>
    <cellStyle name="Suma 2 27 17" xfId="33159"/>
    <cellStyle name="Suma 2 27 17 2" xfId="33160"/>
    <cellStyle name="Suma 2 27 17 3" xfId="33161"/>
    <cellStyle name="Suma 2 27 17 4" xfId="33162"/>
    <cellStyle name="Suma 2 27 18" xfId="33163"/>
    <cellStyle name="Suma 2 27 18 2" xfId="33164"/>
    <cellStyle name="Suma 2 27 18 3" xfId="33165"/>
    <cellStyle name="Suma 2 27 18 4" xfId="33166"/>
    <cellStyle name="Suma 2 27 19" xfId="33167"/>
    <cellStyle name="Suma 2 27 19 2" xfId="33168"/>
    <cellStyle name="Suma 2 27 19 3" xfId="33169"/>
    <cellStyle name="Suma 2 27 19 4" xfId="33170"/>
    <cellStyle name="Suma 2 27 2" xfId="33171"/>
    <cellStyle name="Suma 2 27 2 2" xfId="33172"/>
    <cellStyle name="Suma 2 27 2 3" xfId="33173"/>
    <cellStyle name="Suma 2 27 2 4" xfId="33174"/>
    <cellStyle name="Suma 2 27 20" xfId="33175"/>
    <cellStyle name="Suma 2 27 20 2" xfId="33176"/>
    <cellStyle name="Suma 2 27 20 3" xfId="33177"/>
    <cellStyle name="Suma 2 27 20 4" xfId="33178"/>
    <cellStyle name="Suma 2 27 21" xfId="33179"/>
    <cellStyle name="Suma 2 27 21 2" xfId="33180"/>
    <cellStyle name="Suma 2 27 21 3" xfId="33181"/>
    <cellStyle name="Suma 2 27 22" xfId="33182"/>
    <cellStyle name="Suma 2 27 22 2" xfId="33183"/>
    <cellStyle name="Suma 2 27 22 3" xfId="33184"/>
    <cellStyle name="Suma 2 27 23" xfId="33185"/>
    <cellStyle name="Suma 2 27 23 2" xfId="33186"/>
    <cellStyle name="Suma 2 27 23 3" xfId="33187"/>
    <cellStyle name="Suma 2 27 24" xfId="33188"/>
    <cellStyle name="Suma 2 27 24 2" xfId="33189"/>
    <cellStyle name="Suma 2 27 24 3" xfId="33190"/>
    <cellStyle name="Suma 2 27 25" xfId="33191"/>
    <cellStyle name="Suma 2 27 25 2" xfId="33192"/>
    <cellStyle name="Suma 2 27 25 3" xfId="33193"/>
    <cellStyle name="Suma 2 27 26" xfId="33194"/>
    <cellStyle name="Suma 2 27 26 2" xfId="33195"/>
    <cellStyle name="Suma 2 27 26 3" xfId="33196"/>
    <cellStyle name="Suma 2 27 27" xfId="33197"/>
    <cellStyle name="Suma 2 27 27 2" xfId="33198"/>
    <cellStyle name="Suma 2 27 27 3" xfId="33199"/>
    <cellStyle name="Suma 2 27 28" xfId="33200"/>
    <cellStyle name="Suma 2 27 28 2" xfId="33201"/>
    <cellStyle name="Suma 2 27 28 3" xfId="33202"/>
    <cellStyle name="Suma 2 27 29" xfId="33203"/>
    <cellStyle name="Suma 2 27 29 2" xfId="33204"/>
    <cellStyle name="Suma 2 27 29 3" xfId="33205"/>
    <cellStyle name="Suma 2 27 3" xfId="33206"/>
    <cellStyle name="Suma 2 27 3 2" xfId="33207"/>
    <cellStyle name="Suma 2 27 3 3" xfId="33208"/>
    <cellStyle name="Suma 2 27 3 4" xfId="33209"/>
    <cellStyle name="Suma 2 27 30" xfId="33210"/>
    <cellStyle name="Suma 2 27 30 2" xfId="33211"/>
    <cellStyle name="Suma 2 27 30 3" xfId="33212"/>
    <cellStyle name="Suma 2 27 31" xfId="33213"/>
    <cellStyle name="Suma 2 27 31 2" xfId="33214"/>
    <cellStyle name="Suma 2 27 31 3" xfId="33215"/>
    <cellStyle name="Suma 2 27 32" xfId="33216"/>
    <cellStyle name="Suma 2 27 32 2" xfId="33217"/>
    <cellStyle name="Suma 2 27 32 3" xfId="33218"/>
    <cellStyle name="Suma 2 27 33" xfId="33219"/>
    <cellStyle name="Suma 2 27 33 2" xfId="33220"/>
    <cellStyle name="Suma 2 27 33 3" xfId="33221"/>
    <cellStyle name="Suma 2 27 34" xfId="33222"/>
    <cellStyle name="Suma 2 27 34 2" xfId="33223"/>
    <cellStyle name="Suma 2 27 34 3" xfId="33224"/>
    <cellStyle name="Suma 2 27 35" xfId="33225"/>
    <cellStyle name="Suma 2 27 35 2" xfId="33226"/>
    <cellStyle name="Suma 2 27 35 3" xfId="33227"/>
    <cellStyle name="Suma 2 27 36" xfId="33228"/>
    <cellStyle name="Suma 2 27 36 2" xfId="33229"/>
    <cellStyle name="Suma 2 27 36 3" xfId="33230"/>
    <cellStyle name="Suma 2 27 37" xfId="33231"/>
    <cellStyle name="Suma 2 27 37 2" xfId="33232"/>
    <cellStyle name="Suma 2 27 37 3" xfId="33233"/>
    <cellStyle name="Suma 2 27 38" xfId="33234"/>
    <cellStyle name="Suma 2 27 38 2" xfId="33235"/>
    <cellStyle name="Suma 2 27 38 3" xfId="33236"/>
    <cellStyle name="Suma 2 27 39" xfId="33237"/>
    <cellStyle name="Suma 2 27 39 2" xfId="33238"/>
    <cellStyle name="Suma 2 27 39 3" xfId="33239"/>
    <cellStyle name="Suma 2 27 4" xfId="33240"/>
    <cellStyle name="Suma 2 27 4 2" xfId="33241"/>
    <cellStyle name="Suma 2 27 4 3" xfId="33242"/>
    <cellStyle name="Suma 2 27 4 4" xfId="33243"/>
    <cellStyle name="Suma 2 27 40" xfId="33244"/>
    <cellStyle name="Suma 2 27 40 2" xfId="33245"/>
    <cellStyle name="Suma 2 27 40 3" xfId="33246"/>
    <cellStyle name="Suma 2 27 41" xfId="33247"/>
    <cellStyle name="Suma 2 27 41 2" xfId="33248"/>
    <cellStyle name="Suma 2 27 41 3" xfId="33249"/>
    <cellStyle name="Suma 2 27 42" xfId="33250"/>
    <cellStyle name="Suma 2 27 42 2" xfId="33251"/>
    <cellStyle name="Suma 2 27 42 3" xfId="33252"/>
    <cellStyle name="Suma 2 27 43" xfId="33253"/>
    <cellStyle name="Suma 2 27 43 2" xfId="33254"/>
    <cellStyle name="Suma 2 27 43 3" xfId="33255"/>
    <cellStyle name="Suma 2 27 44" xfId="33256"/>
    <cellStyle name="Suma 2 27 44 2" xfId="33257"/>
    <cellStyle name="Suma 2 27 44 3" xfId="33258"/>
    <cellStyle name="Suma 2 27 45" xfId="33259"/>
    <cellStyle name="Suma 2 27 45 2" xfId="33260"/>
    <cellStyle name="Suma 2 27 45 3" xfId="33261"/>
    <cellStyle name="Suma 2 27 46" xfId="33262"/>
    <cellStyle name="Suma 2 27 46 2" xfId="33263"/>
    <cellStyle name="Suma 2 27 46 3" xfId="33264"/>
    <cellStyle name="Suma 2 27 47" xfId="33265"/>
    <cellStyle name="Suma 2 27 47 2" xfId="33266"/>
    <cellStyle name="Suma 2 27 47 3" xfId="33267"/>
    <cellStyle name="Suma 2 27 48" xfId="33268"/>
    <cellStyle name="Suma 2 27 48 2" xfId="33269"/>
    <cellStyle name="Suma 2 27 48 3" xfId="33270"/>
    <cellStyle name="Suma 2 27 49" xfId="33271"/>
    <cellStyle name="Suma 2 27 49 2" xfId="33272"/>
    <cellStyle name="Suma 2 27 49 3" xfId="33273"/>
    <cellStyle name="Suma 2 27 5" xfId="33274"/>
    <cellStyle name="Suma 2 27 5 2" xfId="33275"/>
    <cellStyle name="Suma 2 27 5 3" xfId="33276"/>
    <cellStyle name="Suma 2 27 5 4" xfId="33277"/>
    <cellStyle name="Suma 2 27 50" xfId="33278"/>
    <cellStyle name="Suma 2 27 50 2" xfId="33279"/>
    <cellStyle name="Suma 2 27 50 3" xfId="33280"/>
    <cellStyle name="Suma 2 27 51" xfId="33281"/>
    <cellStyle name="Suma 2 27 51 2" xfId="33282"/>
    <cellStyle name="Suma 2 27 51 3" xfId="33283"/>
    <cellStyle name="Suma 2 27 52" xfId="33284"/>
    <cellStyle name="Suma 2 27 52 2" xfId="33285"/>
    <cellStyle name="Suma 2 27 52 3" xfId="33286"/>
    <cellStyle name="Suma 2 27 53" xfId="33287"/>
    <cellStyle name="Suma 2 27 53 2" xfId="33288"/>
    <cellStyle name="Suma 2 27 53 3" xfId="33289"/>
    <cellStyle name="Suma 2 27 54" xfId="33290"/>
    <cellStyle name="Suma 2 27 54 2" xfId="33291"/>
    <cellStyle name="Suma 2 27 54 3" xfId="33292"/>
    <cellStyle name="Suma 2 27 55" xfId="33293"/>
    <cellStyle name="Suma 2 27 55 2" xfId="33294"/>
    <cellStyle name="Suma 2 27 55 3" xfId="33295"/>
    <cellStyle name="Suma 2 27 56" xfId="33296"/>
    <cellStyle name="Suma 2 27 56 2" xfId="33297"/>
    <cellStyle name="Suma 2 27 56 3" xfId="33298"/>
    <cellStyle name="Suma 2 27 57" xfId="33299"/>
    <cellStyle name="Suma 2 27 58" xfId="33300"/>
    <cellStyle name="Suma 2 27 6" xfId="33301"/>
    <cellStyle name="Suma 2 27 6 2" xfId="33302"/>
    <cellStyle name="Suma 2 27 6 3" xfId="33303"/>
    <cellStyle name="Suma 2 27 6 4" xfId="33304"/>
    <cellStyle name="Suma 2 27 7" xfId="33305"/>
    <cellStyle name="Suma 2 27 7 2" xfId="33306"/>
    <cellStyle name="Suma 2 27 7 3" xfId="33307"/>
    <cellStyle name="Suma 2 27 7 4" xfId="33308"/>
    <cellStyle name="Suma 2 27 8" xfId="33309"/>
    <cellStyle name="Suma 2 27 8 2" xfId="33310"/>
    <cellStyle name="Suma 2 27 8 3" xfId="33311"/>
    <cellStyle name="Suma 2 27 8 4" xfId="33312"/>
    <cellStyle name="Suma 2 27 9" xfId="33313"/>
    <cellStyle name="Suma 2 27 9 2" xfId="33314"/>
    <cellStyle name="Suma 2 27 9 3" xfId="33315"/>
    <cellStyle name="Suma 2 27 9 4" xfId="33316"/>
    <cellStyle name="Suma 2 28" xfId="33317"/>
    <cellStyle name="Suma 2 28 10" xfId="33318"/>
    <cellStyle name="Suma 2 28 10 2" xfId="33319"/>
    <cellStyle name="Suma 2 28 10 3" xfId="33320"/>
    <cellStyle name="Suma 2 28 10 4" xfId="33321"/>
    <cellStyle name="Suma 2 28 11" xfId="33322"/>
    <cellStyle name="Suma 2 28 11 2" xfId="33323"/>
    <cellStyle name="Suma 2 28 11 3" xfId="33324"/>
    <cellStyle name="Suma 2 28 11 4" xfId="33325"/>
    <cellStyle name="Suma 2 28 12" xfId="33326"/>
    <cellStyle name="Suma 2 28 12 2" xfId="33327"/>
    <cellStyle name="Suma 2 28 12 3" xfId="33328"/>
    <cellStyle name="Suma 2 28 12 4" xfId="33329"/>
    <cellStyle name="Suma 2 28 13" xfId="33330"/>
    <cellStyle name="Suma 2 28 13 2" xfId="33331"/>
    <cellStyle name="Suma 2 28 13 3" xfId="33332"/>
    <cellStyle name="Suma 2 28 13 4" xfId="33333"/>
    <cellStyle name="Suma 2 28 14" xfId="33334"/>
    <cellStyle name="Suma 2 28 14 2" xfId="33335"/>
    <cellStyle name="Suma 2 28 14 3" xfId="33336"/>
    <cellStyle name="Suma 2 28 14 4" xfId="33337"/>
    <cellStyle name="Suma 2 28 15" xfId="33338"/>
    <cellStyle name="Suma 2 28 15 2" xfId="33339"/>
    <cellStyle name="Suma 2 28 15 3" xfId="33340"/>
    <cellStyle name="Suma 2 28 15 4" xfId="33341"/>
    <cellStyle name="Suma 2 28 16" xfId="33342"/>
    <cellStyle name="Suma 2 28 16 2" xfId="33343"/>
    <cellStyle name="Suma 2 28 16 3" xfId="33344"/>
    <cellStyle name="Suma 2 28 16 4" xfId="33345"/>
    <cellStyle name="Suma 2 28 17" xfId="33346"/>
    <cellStyle name="Suma 2 28 17 2" xfId="33347"/>
    <cellStyle name="Suma 2 28 17 3" xfId="33348"/>
    <cellStyle name="Suma 2 28 17 4" xfId="33349"/>
    <cellStyle name="Suma 2 28 18" xfId="33350"/>
    <cellStyle name="Suma 2 28 18 2" xfId="33351"/>
    <cellStyle name="Suma 2 28 18 3" xfId="33352"/>
    <cellStyle name="Suma 2 28 18 4" xfId="33353"/>
    <cellStyle name="Suma 2 28 19" xfId="33354"/>
    <cellStyle name="Suma 2 28 19 2" xfId="33355"/>
    <cellStyle name="Suma 2 28 19 3" xfId="33356"/>
    <cellStyle name="Suma 2 28 19 4" xfId="33357"/>
    <cellStyle name="Suma 2 28 2" xfId="33358"/>
    <cellStyle name="Suma 2 28 2 2" xfId="33359"/>
    <cellStyle name="Suma 2 28 2 3" xfId="33360"/>
    <cellStyle name="Suma 2 28 2 4" xfId="33361"/>
    <cellStyle name="Suma 2 28 20" xfId="33362"/>
    <cellStyle name="Suma 2 28 20 2" xfId="33363"/>
    <cellStyle name="Suma 2 28 20 3" xfId="33364"/>
    <cellStyle name="Suma 2 28 20 4" xfId="33365"/>
    <cellStyle name="Suma 2 28 21" xfId="33366"/>
    <cellStyle name="Suma 2 28 21 2" xfId="33367"/>
    <cellStyle name="Suma 2 28 21 3" xfId="33368"/>
    <cellStyle name="Suma 2 28 22" xfId="33369"/>
    <cellStyle name="Suma 2 28 22 2" xfId="33370"/>
    <cellStyle name="Suma 2 28 22 3" xfId="33371"/>
    <cellStyle name="Suma 2 28 23" xfId="33372"/>
    <cellStyle name="Suma 2 28 23 2" xfId="33373"/>
    <cellStyle name="Suma 2 28 23 3" xfId="33374"/>
    <cellStyle name="Suma 2 28 24" xfId="33375"/>
    <cellStyle name="Suma 2 28 24 2" xfId="33376"/>
    <cellStyle name="Suma 2 28 24 3" xfId="33377"/>
    <cellStyle name="Suma 2 28 25" xfId="33378"/>
    <cellStyle name="Suma 2 28 25 2" xfId="33379"/>
    <cellStyle name="Suma 2 28 25 3" xfId="33380"/>
    <cellStyle name="Suma 2 28 26" xfId="33381"/>
    <cellStyle name="Suma 2 28 26 2" xfId="33382"/>
    <cellStyle name="Suma 2 28 26 3" xfId="33383"/>
    <cellStyle name="Suma 2 28 27" xfId="33384"/>
    <cellStyle name="Suma 2 28 27 2" xfId="33385"/>
    <cellStyle name="Suma 2 28 27 3" xfId="33386"/>
    <cellStyle name="Suma 2 28 28" xfId="33387"/>
    <cellStyle name="Suma 2 28 28 2" xfId="33388"/>
    <cellStyle name="Suma 2 28 28 3" xfId="33389"/>
    <cellStyle name="Suma 2 28 29" xfId="33390"/>
    <cellStyle name="Suma 2 28 29 2" xfId="33391"/>
    <cellStyle name="Suma 2 28 29 3" xfId="33392"/>
    <cellStyle name="Suma 2 28 3" xfId="33393"/>
    <cellStyle name="Suma 2 28 3 2" xfId="33394"/>
    <cellStyle name="Suma 2 28 3 3" xfId="33395"/>
    <cellStyle name="Suma 2 28 3 4" xfId="33396"/>
    <cellStyle name="Suma 2 28 30" xfId="33397"/>
    <cellStyle name="Suma 2 28 30 2" xfId="33398"/>
    <cellStyle name="Suma 2 28 30 3" xfId="33399"/>
    <cellStyle name="Suma 2 28 31" xfId="33400"/>
    <cellStyle name="Suma 2 28 31 2" xfId="33401"/>
    <cellStyle name="Suma 2 28 31 3" xfId="33402"/>
    <cellStyle name="Suma 2 28 32" xfId="33403"/>
    <cellStyle name="Suma 2 28 32 2" xfId="33404"/>
    <cellStyle name="Suma 2 28 32 3" xfId="33405"/>
    <cellStyle name="Suma 2 28 33" xfId="33406"/>
    <cellStyle name="Suma 2 28 33 2" xfId="33407"/>
    <cellStyle name="Suma 2 28 33 3" xfId="33408"/>
    <cellStyle name="Suma 2 28 34" xfId="33409"/>
    <cellStyle name="Suma 2 28 34 2" xfId="33410"/>
    <cellStyle name="Suma 2 28 34 3" xfId="33411"/>
    <cellStyle name="Suma 2 28 35" xfId="33412"/>
    <cellStyle name="Suma 2 28 35 2" xfId="33413"/>
    <cellStyle name="Suma 2 28 35 3" xfId="33414"/>
    <cellStyle name="Suma 2 28 36" xfId="33415"/>
    <cellStyle name="Suma 2 28 36 2" xfId="33416"/>
    <cellStyle name="Suma 2 28 36 3" xfId="33417"/>
    <cellStyle name="Suma 2 28 37" xfId="33418"/>
    <cellStyle name="Suma 2 28 37 2" xfId="33419"/>
    <cellStyle name="Suma 2 28 37 3" xfId="33420"/>
    <cellStyle name="Suma 2 28 38" xfId="33421"/>
    <cellStyle name="Suma 2 28 38 2" xfId="33422"/>
    <cellStyle name="Suma 2 28 38 3" xfId="33423"/>
    <cellStyle name="Suma 2 28 39" xfId="33424"/>
    <cellStyle name="Suma 2 28 39 2" xfId="33425"/>
    <cellStyle name="Suma 2 28 39 3" xfId="33426"/>
    <cellStyle name="Suma 2 28 4" xfId="33427"/>
    <cellStyle name="Suma 2 28 4 2" xfId="33428"/>
    <cellStyle name="Suma 2 28 4 3" xfId="33429"/>
    <cellStyle name="Suma 2 28 4 4" xfId="33430"/>
    <cellStyle name="Suma 2 28 40" xfId="33431"/>
    <cellStyle name="Suma 2 28 40 2" xfId="33432"/>
    <cellStyle name="Suma 2 28 40 3" xfId="33433"/>
    <cellStyle name="Suma 2 28 41" xfId="33434"/>
    <cellStyle name="Suma 2 28 41 2" xfId="33435"/>
    <cellStyle name="Suma 2 28 41 3" xfId="33436"/>
    <cellStyle name="Suma 2 28 42" xfId="33437"/>
    <cellStyle name="Suma 2 28 42 2" xfId="33438"/>
    <cellStyle name="Suma 2 28 42 3" xfId="33439"/>
    <cellStyle name="Suma 2 28 43" xfId="33440"/>
    <cellStyle name="Suma 2 28 43 2" xfId="33441"/>
    <cellStyle name="Suma 2 28 43 3" xfId="33442"/>
    <cellStyle name="Suma 2 28 44" xfId="33443"/>
    <cellStyle name="Suma 2 28 44 2" xfId="33444"/>
    <cellStyle name="Suma 2 28 44 3" xfId="33445"/>
    <cellStyle name="Suma 2 28 45" xfId="33446"/>
    <cellStyle name="Suma 2 28 45 2" xfId="33447"/>
    <cellStyle name="Suma 2 28 45 3" xfId="33448"/>
    <cellStyle name="Suma 2 28 46" xfId="33449"/>
    <cellStyle name="Suma 2 28 46 2" xfId="33450"/>
    <cellStyle name="Suma 2 28 46 3" xfId="33451"/>
    <cellStyle name="Suma 2 28 47" xfId="33452"/>
    <cellStyle name="Suma 2 28 47 2" xfId="33453"/>
    <cellStyle name="Suma 2 28 47 3" xfId="33454"/>
    <cellStyle name="Suma 2 28 48" xfId="33455"/>
    <cellStyle name="Suma 2 28 48 2" xfId="33456"/>
    <cellStyle name="Suma 2 28 48 3" xfId="33457"/>
    <cellStyle name="Suma 2 28 49" xfId="33458"/>
    <cellStyle name="Suma 2 28 49 2" xfId="33459"/>
    <cellStyle name="Suma 2 28 49 3" xfId="33460"/>
    <cellStyle name="Suma 2 28 5" xfId="33461"/>
    <cellStyle name="Suma 2 28 5 2" xfId="33462"/>
    <cellStyle name="Suma 2 28 5 3" xfId="33463"/>
    <cellStyle name="Suma 2 28 5 4" xfId="33464"/>
    <cellStyle name="Suma 2 28 50" xfId="33465"/>
    <cellStyle name="Suma 2 28 50 2" xfId="33466"/>
    <cellStyle name="Suma 2 28 50 3" xfId="33467"/>
    <cellStyle name="Suma 2 28 51" xfId="33468"/>
    <cellStyle name="Suma 2 28 51 2" xfId="33469"/>
    <cellStyle name="Suma 2 28 51 3" xfId="33470"/>
    <cellStyle name="Suma 2 28 52" xfId="33471"/>
    <cellStyle name="Suma 2 28 52 2" xfId="33472"/>
    <cellStyle name="Suma 2 28 52 3" xfId="33473"/>
    <cellStyle name="Suma 2 28 53" xfId="33474"/>
    <cellStyle name="Suma 2 28 53 2" xfId="33475"/>
    <cellStyle name="Suma 2 28 53 3" xfId="33476"/>
    <cellStyle name="Suma 2 28 54" xfId="33477"/>
    <cellStyle name="Suma 2 28 54 2" xfId="33478"/>
    <cellStyle name="Suma 2 28 54 3" xfId="33479"/>
    <cellStyle name="Suma 2 28 55" xfId="33480"/>
    <cellStyle name="Suma 2 28 55 2" xfId="33481"/>
    <cellStyle name="Suma 2 28 55 3" xfId="33482"/>
    <cellStyle name="Suma 2 28 56" xfId="33483"/>
    <cellStyle name="Suma 2 28 56 2" xfId="33484"/>
    <cellStyle name="Suma 2 28 56 3" xfId="33485"/>
    <cellStyle name="Suma 2 28 57" xfId="33486"/>
    <cellStyle name="Suma 2 28 58" xfId="33487"/>
    <cellStyle name="Suma 2 28 6" xfId="33488"/>
    <cellStyle name="Suma 2 28 6 2" xfId="33489"/>
    <cellStyle name="Suma 2 28 6 3" xfId="33490"/>
    <cellStyle name="Suma 2 28 6 4" xfId="33491"/>
    <cellStyle name="Suma 2 28 7" xfId="33492"/>
    <cellStyle name="Suma 2 28 7 2" xfId="33493"/>
    <cellStyle name="Suma 2 28 7 3" xfId="33494"/>
    <cellStyle name="Suma 2 28 7 4" xfId="33495"/>
    <cellStyle name="Suma 2 28 8" xfId="33496"/>
    <cellStyle name="Suma 2 28 8 2" xfId="33497"/>
    <cellStyle name="Suma 2 28 8 3" xfId="33498"/>
    <cellStyle name="Suma 2 28 8 4" xfId="33499"/>
    <cellStyle name="Suma 2 28 9" xfId="33500"/>
    <cellStyle name="Suma 2 28 9 2" xfId="33501"/>
    <cellStyle name="Suma 2 28 9 3" xfId="33502"/>
    <cellStyle name="Suma 2 28 9 4" xfId="33503"/>
    <cellStyle name="Suma 2 29" xfId="33504"/>
    <cellStyle name="Suma 2 29 2" xfId="33505"/>
    <cellStyle name="Suma 2 29 3" xfId="33506"/>
    <cellStyle name="Suma 2 29 4" xfId="33507"/>
    <cellStyle name="Suma 2 3" xfId="33508"/>
    <cellStyle name="Suma 2 3 10" xfId="33509"/>
    <cellStyle name="Suma 2 3 10 2" xfId="33510"/>
    <cellStyle name="Suma 2 3 10 3" xfId="33511"/>
    <cellStyle name="Suma 2 3 10 4" xfId="33512"/>
    <cellStyle name="Suma 2 3 11" xfId="33513"/>
    <cellStyle name="Suma 2 3 11 2" xfId="33514"/>
    <cellStyle name="Suma 2 3 11 3" xfId="33515"/>
    <cellStyle name="Suma 2 3 11 4" xfId="33516"/>
    <cellStyle name="Suma 2 3 12" xfId="33517"/>
    <cellStyle name="Suma 2 3 12 2" xfId="33518"/>
    <cellStyle name="Suma 2 3 12 3" xfId="33519"/>
    <cellStyle name="Suma 2 3 12 4" xfId="33520"/>
    <cellStyle name="Suma 2 3 13" xfId="33521"/>
    <cellStyle name="Suma 2 3 13 2" xfId="33522"/>
    <cellStyle name="Suma 2 3 13 3" xfId="33523"/>
    <cellStyle name="Suma 2 3 13 4" xfId="33524"/>
    <cellStyle name="Suma 2 3 14" xfId="33525"/>
    <cellStyle name="Suma 2 3 14 2" xfId="33526"/>
    <cellStyle name="Suma 2 3 14 3" xfId="33527"/>
    <cellStyle name="Suma 2 3 14 4" xfId="33528"/>
    <cellStyle name="Suma 2 3 15" xfId="33529"/>
    <cellStyle name="Suma 2 3 15 2" xfId="33530"/>
    <cellStyle name="Suma 2 3 15 3" xfId="33531"/>
    <cellStyle name="Suma 2 3 15 4" xfId="33532"/>
    <cellStyle name="Suma 2 3 16" xfId="33533"/>
    <cellStyle name="Suma 2 3 16 2" xfId="33534"/>
    <cellStyle name="Suma 2 3 16 3" xfId="33535"/>
    <cellStyle name="Suma 2 3 16 4" xfId="33536"/>
    <cellStyle name="Suma 2 3 17" xfId="33537"/>
    <cellStyle name="Suma 2 3 17 2" xfId="33538"/>
    <cellStyle name="Suma 2 3 17 3" xfId="33539"/>
    <cellStyle name="Suma 2 3 17 4" xfId="33540"/>
    <cellStyle name="Suma 2 3 18" xfId="33541"/>
    <cellStyle name="Suma 2 3 18 2" xfId="33542"/>
    <cellStyle name="Suma 2 3 18 3" xfId="33543"/>
    <cellStyle name="Suma 2 3 18 4" xfId="33544"/>
    <cellStyle name="Suma 2 3 19" xfId="33545"/>
    <cellStyle name="Suma 2 3 19 2" xfId="33546"/>
    <cellStyle name="Suma 2 3 19 3" xfId="33547"/>
    <cellStyle name="Suma 2 3 19 4" xfId="33548"/>
    <cellStyle name="Suma 2 3 2" xfId="33549"/>
    <cellStyle name="Suma 2 3 2 2" xfId="33550"/>
    <cellStyle name="Suma 2 3 2 3" xfId="33551"/>
    <cellStyle name="Suma 2 3 2 4" xfId="33552"/>
    <cellStyle name="Suma 2 3 20" xfId="33553"/>
    <cellStyle name="Suma 2 3 20 2" xfId="33554"/>
    <cellStyle name="Suma 2 3 20 3" xfId="33555"/>
    <cellStyle name="Suma 2 3 20 4" xfId="33556"/>
    <cellStyle name="Suma 2 3 21" xfId="33557"/>
    <cellStyle name="Suma 2 3 21 2" xfId="33558"/>
    <cellStyle name="Suma 2 3 21 3" xfId="33559"/>
    <cellStyle name="Suma 2 3 22" xfId="33560"/>
    <cellStyle name="Suma 2 3 22 2" xfId="33561"/>
    <cellStyle name="Suma 2 3 22 3" xfId="33562"/>
    <cellStyle name="Suma 2 3 23" xfId="33563"/>
    <cellStyle name="Suma 2 3 23 2" xfId="33564"/>
    <cellStyle name="Suma 2 3 23 3" xfId="33565"/>
    <cellStyle name="Suma 2 3 24" xfId="33566"/>
    <cellStyle name="Suma 2 3 24 2" xfId="33567"/>
    <cellStyle name="Suma 2 3 24 3" xfId="33568"/>
    <cellStyle name="Suma 2 3 25" xfId="33569"/>
    <cellStyle name="Suma 2 3 25 2" xfId="33570"/>
    <cellStyle name="Suma 2 3 25 3" xfId="33571"/>
    <cellStyle name="Suma 2 3 26" xfId="33572"/>
    <cellStyle name="Suma 2 3 26 2" xfId="33573"/>
    <cellStyle name="Suma 2 3 26 3" xfId="33574"/>
    <cellStyle name="Suma 2 3 27" xfId="33575"/>
    <cellStyle name="Suma 2 3 27 2" xfId="33576"/>
    <cellStyle name="Suma 2 3 27 3" xfId="33577"/>
    <cellStyle name="Suma 2 3 28" xfId="33578"/>
    <cellStyle name="Suma 2 3 28 2" xfId="33579"/>
    <cellStyle name="Suma 2 3 28 3" xfId="33580"/>
    <cellStyle name="Suma 2 3 29" xfId="33581"/>
    <cellStyle name="Suma 2 3 29 2" xfId="33582"/>
    <cellStyle name="Suma 2 3 29 3" xfId="33583"/>
    <cellStyle name="Suma 2 3 3" xfId="33584"/>
    <cellStyle name="Suma 2 3 3 2" xfId="33585"/>
    <cellStyle name="Suma 2 3 3 3" xfId="33586"/>
    <cellStyle name="Suma 2 3 3 4" xfId="33587"/>
    <cellStyle name="Suma 2 3 30" xfId="33588"/>
    <cellStyle name="Suma 2 3 30 2" xfId="33589"/>
    <cellStyle name="Suma 2 3 30 3" xfId="33590"/>
    <cellStyle name="Suma 2 3 31" xfId="33591"/>
    <cellStyle name="Suma 2 3 31 2" xfId="33592"/>
    <cellStyle name="Suma 2 3 31 3" xfId="33593"/>
    <cellStyle name="Suma 2 3 32" xfId="33594"/>
    <cellStyle name="Suma 2 3 32 2" xfId="33595"/>
    <cellStyle name="Suma 2 3 32 3" xfId="33596"/>
    <cellStyle name="Suma 2 3 33" xfId="33597"/>
    <cellStyle name="Suma 2 3 33 2" xfId="33598"/>
    <cellStyle name="Suma 2 3 33 3" xfId="33599"/>
    <cellStyle name="Suma 2 3 34" xfId="33600"/>
    <cellStyle name="Suma 2 3 34 2" xfId="33601"/>
    <cellStyle name="Suma 2 3 34 3" xfId="33602"/>
    <cellStyle name="Suma 2 3 35" xfId="33603"/>
    <cellStyle name="Suma 2 3 35 2" xfId="33604"/>
    <cellStyle name="Suma 2 3 35 3" xfId="33605"/>
    <cellStyle name="Suma 2 3 36" xfId="33606"/>
    <cellStyle name="Suma 2 3 36 2" xfId="33607"/>
    <cellStyle name="Suma 2 3 36 3" xfId="33608"/>
    <cellStyle name="Suma 2 3 37" xfId="33609"/>
    <cellStyle name="Suma 2 3 37 2" xfId="33610"/>
    <cellStyle name="Suma 2 3 37 3" xfId="33611"/>
    <cellStyle name="Suma 2 3 38" xfId="33612"/>
    <cellStyle name="Suma 2 3 38 2" xfId="33613"/>
    <cellStyle name="Suma 2 3 38 3" xfId="33614"/>
    <cellStyle name="Suma 2 3 39" xfId="33615"/>
    <cellStyle name="Suma 2 3 39 2" xfId="33616"/>
    <cellStyle name="Suma 2 3 39 3" xfId="33617"/>
    <cellStyle name="Suma 2 3 4" xfId="33618"/>
    <cellStyle name="Suma 2 3 4 2" xfId="33619"/>
    <cellStyle name="Suma 2 3 4 3" xfId="33620"/>
    <cellStyle name="Suma 2 3 4 4" xfId="33621"/>
    <cellStyle name="Suma 2 3 40" xfId="33622"/>
    <cellStyle name="Suma 2 3 40 2" xfId="33623"/>
    <cellStyle name="Suma 2 3 40 3" xfId="33624"/>
    <cellStyle name="Suma 2 3 41" xfId="33625"/>
    <cellStyle name="Suma 2 3 41 2" xfId="33626"/>
    <cellStyle name="Suma 2 3 41 3" xfId="33627"/>
    <cellStyle name="Suma 2 3 42" xfId="33628"/>
    <cellStyle name="Suma 2 3 42 2" xfId="33629"/>
    <cellStyle name="Suma 2 3 42 3" xfId="33630"/>
    <cellStyle name="Suma 2 3 43" xfId="33631"/>
    <cellStyle name="Suma 2 3 43 2" xfId="33632"/>
    <cellStyle name="Suma 2 3 43 3" xfId="33633"/>
    <cellStyle name="Suma 2 3 44" xfId="33634"/>
    <cellStyle name="Suma 2 3 44 2" xfId="33635"/>
    <cellStyle name="Suma 2 3 44 3" xfId="33636"/>
    <cellStyle name="Suma 2 3 45" xfId="33637"/>
    <cellStyle name="Suma 2 3 45 2" xfId="33638"/>
    <cellStyle name="Suma 2 3 45 3" xfId="33639"/>
    <cellStyle name="Suma 2 3 46" xfId="33640"/>
    <cellStyle name="Suma 2 3 46 2" xfId="33641"/>
    <cellStyle name="Suma 2 3 46 3" xfId="33642"/>
    <cellStyle name="Suma 2 3 47" xfId="33643"/>
    <cellStyle name="Suma 2 3 47 2" xfId="33644"/>
    <cellStyle name="Suma 2 3 47 3" xfId="33645"/>
    <cellStyle name="Suma 2 3 48" xfId="33646"/>
    <cellStyle name="Suma 2 3 48 2" xfId="33647"/>
    <cellStyle name="Suma 2 3 48 3" xfId="33648"/>
    <cellStyle name="Suma 2 3 49" xfId="33649"/>
    <cellStyle name="Suma 2 3 49 2" xfId="33650"/>
    <cellStyle name="Suma 2 3 49 3" xfId="33651"/>
    <cellStyle name="Suma 2 3 5" xfId="33652"/>
    <cellStyle name="Suma 2 3 5 2" xfId="33653"/>
    <cellStyle name="Suma 2 3 5 3" xfId="33654"/>
    <cellStyle name="Suma 2 3 5 4" xfId="33655"/>
    <cellStyle name="Suma 2 3 50" xfId="33656"/>
    <cellStyle name="Suma 2 3 50 2" xfId="33657"/>
    <cellStyle name="Suma 2 3 50 3" xfId="33658"/>
    <cellStyle name="Suma 2 3 51" xfId="33659"/>
    <cellStyle name="Suma 2 3 51 2" xfId="33660"/>
    <cellStyle name="Suma 2 3 51 3" xfId="33661"/>
    <cellStyle name="Suma 2 3 52" xfId="33662"/>
    <cellStyle name="Suma 2 3 52 2" xfId="33663"/>
    <cellStyle name="Suma 2 3 52 3" xfId="33664"/>
    <cellStyle name="Suma 2 3 53" xfId="33665"/>
    <cellStyle name="Suma 2 3 53 2" xfId="33666"/>
    <cellStyle name="Suma 2 3 53 3" xfId="33667"/>
    <cellStyle name="Suma 2 3 54" xfId="33668"/>
    <cellStyle name="Suma 2 3 54 2" xfId="33669"/>
    <cellStyle name="Suma 2 3 54 3" xfId="33670"/>
    <cellStyle name="Suma 2 3 55" xfId="33671"/>
    <cellStyle name="Suma 2 3 55 2" xfId="33672"/>
    <cellStyle name="Suma 2 3 55 3" xfId="33673"/>
    <cellStyle name="Suma 2 3 56" xfId="33674"/>
    <cellStyle name="Suma 2 3 56 2" xfId="33675"/>
    <cellStyle name="Suma 2 3 56 3" xfId="33676"/>
    <cellStyle name="Suma 2 3 57" xfId="33677"/>
    <cellStyle name="Suma 2 3 58" xfId="33678"/>
    <cellStyle name="Suma 2 3 6" xfId="33679"/>
    <cellStyle name="Suma 2 3 6 2" xfId="33680"/>
    <cellStyle name="Suma 2 3 6 3" xfId="33681"/>
    <cellStyle name="Suma 2 3 6 4" xfId="33682"/>
    <cellStyle name="Suma 2 3 7" xfId="33683"/>
    <cellStyle name="Suma 2 3 7 2" xfId="33684"/>
    <cellStyle name="Suma 2 3 7 3" xfId="33685"/>
    <cellStyle name="Suma 2 3 7 4" xfId="33686"/>
    <cellStyle name="Suma 2 3 8" xfId="33687"/>
    <cellStyle name="Suma 2 3 8 2" xfId="33688"/>
    <cellStyle name="Suma 2 3 8 3" xfId="33689"/>
    <cellStyle name="Suma 2 3 8 4" xfId="33690"/>
    <cellStyle name="Suma 2 3 9" xfId="33691"/>
    <cellStyle name="Suma 2 3 9 2" xfId="33692"/>
    <cellStyle name="Suma 2 3 9 3" xfId="33693"/>
    <cellStyle name="Suma 2 3 9 4" xfId="33694"/>
    <cellStyle name="Suma 2 30" xfId="33695"/>
    <cellStyle name="Suma 2 30 2" xfId="33696"/>
    <cellStyle name="Suma 2 30 3" xfId="33697"/>
    <cellStyle name="Suma 2 30 4" xfId="33698"/>
    <cellStyle name="Suma 2 31" xfId="33699"/>
    <cellStyle name="Suma 2 31 2" xfId="33700"/>
    <cellStyle name="Suma 2 31 3" xfId="33701"/>
    <cellStyle name="Suma 2 31 4" xfId="33702"/>
    <cellStyle name="Suma 2 32" xfId="33703"/>
    <cellStyle name="Suma 2 32 2" xfId="33704"/>
    <cellStyle name="Suma 2 32 3" xfId="33705"/>
    <cellStyle name="Suma 2 32 4" xfId="33706"/>
    <cellStyle name="Suma 2 33" xfId="33707"/>
    <cellStyle name="Suma 2 33 2" xfId="33708"/>
    <cellStyle name="Suma 2 33 3" xfId="33709"/>
    <cellStyle name="Suma 2 33 4" xfId="33710"/>
    <cellStyle name="Suma 2 34" xfId="33711"/>
    <cellStyle name="Suma 2 34 2" xfId="33712"/>
    <cellStyle name="Suma 2 34 3" xfId="33713"/>
    <cellStyle name="Suma 2 34 4" xfId="33714"/>
    <cellStyle name="Suma 2 35" xfId="33715"/>
    <cellStyle name="Suma 2 35 2" xfId="33716"/>
    <cellStyle name="Suma 2 35 3" xfId="33717"/>
    <cellStyle name="Suma 2 35 4" xfId="33718"/>
    <cellStyle name="Suma 2 36" xfId="33719"/>
    <cellStyle name="Suma 2 36 2" xfId="33720"/>
    <cellStyle name="Suma 2 36 3" xfId="33721"/>
    <cellStyle name="Suma 2 36 4" xfId="33722"/>
    <cellStyle name="Suma 2 37" xfId="33723"/>
    <cellStyle name="Suma 2 37 2" xfId="33724"/>
    <cellStyle name="Suma 2 37 3" xfId="33725"/>
    <cellStyle name="Suma 2 37 4" xfId="33726"/>
    <cellStyle name="Suma 2 38" xfId="33727"/>
    <cellStyle name="Suma 2 38 2" xfId="33728"/>
    <cellStyle name="Suma 2 38 3" xfId="33729"/>
    <cellStyle name="Suma 2 38 4" xfId="33730"/>
    <cellStyle name="Suma 2 39" xfId="33731"/>
    <cellStyle name="Suma 2 39 2" xfId="33732"/>
    <cellStyle name="Suma 2 39 3" xfId="33733"/>
    <cellStyle name="Suma 2 39 4" xfId="33734"/>
    <cellStyle name="Suma 2 4" xfId="33735"/>
    <cellStyle name="Suma 2 4 10" xfId="33736"/>
    <cellStyle name="Suma 2 4 10 2" xfId="33737"/>
    <cellStyle name="Suma 2 4 10 3" xfId="33738"/>
    <cellStyle name="Suma 2 4 10 4" xfId="33739"/>
    <cellStyle name="Suma 2 4 11" xfId="33740"/>
    <cellStyle name="Suma 2 4 11 2" xfId="33741"/>
    <cellStyle name="Suma 2 4 11 3" xfId="33742"/>
    <cellStyle name="Suma 2 4 11 4" xfId="33743"/>
    <cellStyle name="Suma 2 4 12" xfId="33744"/>
    <cellStyle name="Suma 2 4 12 2" xfId="33745"/>
    <cellStyle name="Suma 2 4 12 3" xfId="33746"/>
    <cellStyle name="Suma 2 4 12 4" xfId="33747"/>
    <cellStyle name="Suma 2 4 13" xfId="33748"/>
    <cellStyle name="Suma 2 4 13 2" xfId="33749"/>
    <cellStyle name="Suma 2 4 13 3" xfId="33750"/>
    <cellStyle name="Suma 2 4 13 4" xfId="33751"/>
    <cellStyle name="Suma 2 4 14" xfId="33752"/>
    <cellStyle name="Suma 2 4 14 2" xfId="33753"/>
    <cellStyle name="Suma 2 4 14 3" xfId="33754"/>
    <cellStyle name="Suma 2 4 14 4" xfId="33755"/>
    <cellStyle name="Suma 2 4 15" xfId="33756"/>
    <cellStyle name="Suma 2 4 15 2" xfId="33757"/>
    <cellStyle name="Suma 2 4 15 3" xfId="33758"/>
    <cellStyle name="Suma 2 4 15 4" xfId="33759"/>
    <cellStyle name="Suma 2 4 16" xfId="33760"/>
    <cellStyle name="Suma 2 4 16 2" xfId="33761"/>
    <cellStyle name="Suma 2 4 16 3" xfId="33762"/>
    <cellStyle name="Suma 2 4 16 4" xfId="33763"/>
    <cellStyle name="Suma 2 4 17" xfId="33764"/>
    <cellStyle name="Suma 2 4 17 2" xfId="33765"/>
    <cellStyle name="Suma 2 4 17 3" xfId="33766"/>
    <cellStyle name="Suma 2 4 17 4" xfId="33767"/>
    <cellStyle name="Suma 2 4 18" xfId="33768"/>
    <cellStyle name="Suma 2 4 18 2" xfId="33769"/>
    <cellStyle name="Suma 2 4 18 3" xfId="33770"/>
    <cellStyle name="Suma 2 4 18 4" xfId="33771"/>
    <cellStyle name="Suma 2 4 19" xfId="33772"/>
    <cellStyle name="Suma 2 4 19 2" xfId="33773"/>
    <cellStyle name="Suma 2 4 19 3" xfId="33774"/>
    <cellStyle name="Suma 2 4 19 4" xfId="33775"/>
    <cellStyle name="Suma 2 4 2" xfId="33776"/>
    <cellStyle name="Suma 2 4 2 2" xfId="33777"/>
    <cellStyle name="Suma 2 4 2 3" xfId="33778"/>
    <cellStyle name="Suma 2 4 2 4" xfId="33779"/>
    <cellStyle name="Suma 2 4 20" xfId="33780"/>
    <cellStyle name="Suma 2 4 20 2" xfId="33781"/>
    <cellStyle name="Suma 2 4 20 3" xfId="33782"/>
    <cellStyle name="Suma 2 4 20 4" xfId="33783"/>
    <cellStyle name="Suma 2 4 21" xfId="33784"/>
    <cellStyle name="Suma 2 4 21 2" xfId="33785"/>
    <cellStyle name="Suma 2 4 21 3" xfId="33786"/>
    <cellStyle name="Suma 2 4 22" xfId="33787"/>
    <cellStyle name="Suma 2 4 22 2" xfId="33788"/>
    <cellStyle name="Suma 2 4 22 3" xfId="33789"/>
    <cellStyle name="Suma 2 4 23" xfId="33790"/>
    <cellStyle name="Suma 2 4 23 2" xfId="33791"/>
    <cellStyle name="Suma 2 4 23 3" xfId="33792"/>
    <cellStyle name="Suma 2 4 24" xfId="33793"/>
    <cellStyle name="Suma 2 4 24 2" xfId="33794"/>
    <cellStyle name="Suma 2 4 24 3" xfId="33795"/>
    <cellStyle name="Suma 2 4 25" xfId="33796"/>
    <cellStyle name="Suma 2 4 25 2" xfId="33797"/>
    <cellStyle name="Suma 2 4 25 3" xfId="33798"/>
    <cellStyle name="Suma 2 4 26" xfId="33799"/>
    <cellStyle name="Suma 2 4 26 2" xfId="33800"/>
    <cellStyle name="Suma 2 4 26 3" xfId="33801"/>
    <cellStyle name="Suma 2 4 27" xfId="33802"/>
    <cellStyle name="Suma 2 4 27 2" xfId="33803"/>
    <cellStyle name="Suma 2 4 27 3" xfId="33804"/>
    <cellStyle name="Suma 2 4 28" xfId="33805"/>
    <cellStyle name="Suma 2 4 28 2" xfId="33806"/>
    <cellStyle name="Suma 2 4 28 3" xfId="33807"/>
    <cellStyle name="Suma 2 4 29" xfId="33808"/>
    <cellStyle name="Suma 2 4 29 2" xfId="33809"/>
    <cellStyle name="Suma 2 4 29 3" xfId="33810"/>
    <cellStyle name="Suma 2 4 3" xfId="33811"/>
    <cellStyle name="Suma 2 4 3 2" xfId="33812"/>
    <cellStyle name="Suma 2 4 3 3" xfId="33813"/>
    <cellStyle name="Suma 2 4 3 4" xfId="33814"/>
    <cellStyle name="Suma 2 4 30" xfId="33815"/>
    <cellStyle name="Suma 2 4 30 2" xfId="33816"/>
    <cellStyle name="Suma 2 4 30 3" xfId="33817"/>
    <cellStyle name="Suma 2 4 31" xfId="33818"/>
    <cellStyle name="Suma 2 4 31 2" xfId="33819"/>
    <cellStyle name="Suma 2 4 31 3" xfId="33820"/>
    <cellStyle name="Suma 2 4 32" xfId="33821"/>
    <cellStyle name="Suma 2 4 32 2" xfId="33822"/>
    <cellStyle name="Suma 2 4 32 3" xfId="33823"/>
    <cellStyle name="Suma 2 4 33" xfId="33824"/>
    <cellStyle name="Suma 2 4 33 2" xfId="33825"/>
    <cellStyle name="Suma 2 4 33 3" xfId="33826"/>
    <cellStyle name="Suma 2 4 34" xfId="33827"/>
    <cellStyle name="Suma 2 4 34 2" xfId="33828"/>
    <cellStyle name="Suma 2 4 34 3" xfId="33829"/>
    <cellStyle name="Suma 2 4 35" xfId="33830"/>
    <cellStyle name="Suma 2 4 35 2" xfId="33831"/>
    <cellStyle name="Suma 2 4 35 3" xfId="33832"/>
    <cellStyle name="Suma 2 4 36" xfId="33833"/>
    <cellStyle name="Suma 2 4 36 2" xfId="33834"/>
    <cellStyle name="Suma 2 4 36 3" xfId="33835"/>
    <cellStyle name="Suma 2 4 37" xfId="33836"/>
    <cellStyle name="Suma 2 4 37 2" xfId="33837"/>
    <cellStyle name="Suma 2 4 37 3" xfId="33838"/>
    <cellStyle name="Suma 2 4 38" xfId="33839"/>
    <cellStyle name="Suma 2 4 38 2" xfId="33840"/>
    <cellStyle name="Suma 2 4 38 3" xfId="33841"/>
    <cellStyle name="Suma 2 4 39" xfId="33842"/>
    <cellStyle name="Suma 2 4 39 2" xfId="33843"/>
    <cellStyle name="Suma 2 4 39 3" xfId="33844"/>
    <cellStyle name="Suma 2 4 4" xfId="33845"/>
    <cellStyle name="Suma 2 4 4 2" xfId="33846"/>
    <cellStyle name="Suma 2 4 4 3" xfId="33847"/>
    <cellStyle name="Suma 2 4 4 4" xfId="33848"/>
    <cellStyle name="Suma 2 4 40" xfId="33849"/>
    <cellStyle name="Suma 2 4 40 2" xfId="33850"/>
    <cellStyle name="Suma 2 4 40 3" xfId="33851"/>
    <cellStyle name="Suma 2 4 41" xfId="33852"/>
    <cellStyle name="Suma 2 4 41 2" xfId="33853"/>
    <cellStyle name="Suma 2 4 41 3" xfId="33854"/>
    <cellStyle name="Suma 2 4 42" xfId="33855"/>
    <cellStyle name="Suma 2 4 42 2" xfId="33856"/>
    <cellStyle name="Suma 2 4 42 3" xfId="33857"/>
    <cellStyle name="Suma 2 4 43" xfId="33858"/>
    <cellStyle name="Suma 2 4 43 2" xfId="33859"/>
    <cellStyle name="Suma 2 4 43 3" xfId="33860"/>
    <cellStyle name="Suma 2 4 44" xfId="33861"/>
    <cellStyle name="Suma 2 4 44 2" xfId="33862"/>
    <cellStyle name="Suma 2 4 44 3" xfId="33863"/>
    <cellStyle name="Suma 2 4 45" xfId="33864"/>
    <cellStyle name="Suma 2 4 45 2" xfId="33865"/>
    <cellStyle name="Suma 2 4 45 3" xfId="33866"/>
    <cellStyle name="Suma 2 4 46" xfId="33867"/>
    <cellStyle name="Suma 2 4 46 2" xfId="33868"/>
    <cellStyle name="Suma 2 4 46 3" xfId="33869"/>
    <cellStyle name="Suma 2 4 47" xfId="33870"/>
    <cellStyle name="Suma 2 4 47 2" xfId="33871"/>
    <cellStyle name="Suma 2 4 47 3" xfId="33872"/>
    <cellStyle name="Suma 2 4 48" xfId="33873"/>
    <cellStyle name="Suma 2 4 48 2" xfId="33874"/>
    <cellStyle name="Suma 2 4 48 3" xfId="33875"/>
    <cellStyle name="Suma 2 4 49" xfId="33876"/>
    <cellStyle name="Suma 2 4 49 2" xfId="33877"/>
    <cellStyle name="Suma 2 4 49 3" xfId="33878"/>
    <cellStyle name="Suma 2 4 5" xfId="33879"/>
    <cellStyle name="Suma 2 4 5 2" xfId="33880"/>
    <cellStyle name="Suma 2 4 5 3" xfId="33881"/>
    <cellStyle name="Suma 2 4 5 4" xfId="33882"/>
    <cellStyle name="Suma 2 4 50" xfId="33883"/>
    <cellStyle name="Suma 2 4 50 2" xfId="33884"/>
    <cellStyle name="Suma 2 4 50 3" xfId="33885"/>
    <cellStyle name="Suma 2 4 51" xfId="33886"/>
    <cellStyle name="Suma 2 4 51 2" xfId="33887"/>
    <cellStyle name="Suma 2 4 51 3" xfId="33888"/>
    <cellStyle name="Suma 2 4 52" xfId="33889"/>
    <cellStyle name="Suma 2 4 52 2" xfId="33890"/>
    <cellStyle name="Suma 2 4 52 3" xfId="33891"/>
    <cellStyle name="Suma 2 4 53" xfId="33892"/>
    <cellStyle name="Suma 2 4 53 2" xfId="33893"/>
    <cellStyle name="Suma 2 4 53 3" xfId="33894"/>
    <cellStyle name="Suma 2 4 54" xfId="33895"/>
    <cellStyle name="Suma 2 4 54 2" xfId="33896"/>
    <cellStyle name="Suma 2 4 54 3" xfId="33897"/>
    <cellStyle name="Suma 2 4 55" xfId="33898"/>
    <cellStyle name="Suma 2 4 55 2" xfId="33899"/>
    <cellStyle name="Suma 2 4 55 3" xfId="33900"/>
    <cellStyle name="Suma 2 4 56" xfId="33901"/>
    <cellStyle name="Suma 2 4 56 2" xfId="33902"/>
    <cellStyle name="Suma 2 4 56 3" xfId="33903"/>
    <cellStyle name="Suma 2 4 57" xfId="33904"/>
    <cellStyle name="Suma 2 4 58" xfId="33905"/>
    <cellStyle name="Suma 2 4 6" xfId="33906"/>
    <cellStyle name="Suma 2 4 6 2" xfId="33907"/>
    <cellStyle name="Suma 2 4 6 3" xfId="33908"/>
    <cellStyle name="Suma 2 4 6 4" xfId="33909"/>
    <cellStyle name="Suma 2 4 7" xfId="33910"/>
    <cellStyle name="Suma 2 4 7 2" xfId="33911"/>
    <cellStyle name="Suma 2 4 7 3" xfId="33912"/>
    <cellStyle name="Suma 2 4 7 4" xfId="33913"/>
    <cellStyle name="Suma 2 4 8" xfId="33914"/>
    <cellStyle name="Suma 2 4 8 2" xfId="33915"/>
    <cellStyle name="Suma 2 4 8 3" xfId="33916"/>
    <cellStyle name="Suma 2 4 8 4" xfId="33917"/>
    <cellStyle name="Suma 2 4 9" xfId="33918"/>
    <cellStyle name="Suma 2 4 9 2" xfId="33919"/>
    <cellStyle name="Suma 2 4 9 3" xfId="33920"/>
    <cellStyle name="Suma 2 4 9 4" xfId="33921"/>
    <cellStyle name="Suma 2 40" xfId="33922"/>
    <cellStyle name="Suma 2 40 2" xfId="33923"/>
    <cellStyle name="Suma 2 40 3" xfId="33924"/>
    <cellStyle name="Suma 2 40 4" xfId="33925"/>
    <cellStyle name="Suma 2 41" xfId="33926"/>
    <cellStyle name="Suma 2 41 2" xfId="33927"/>
    <cellStyle name="Suma 2 41 3" xfId="33928"/>
    <cellStyle name="Suma 2 41 4" xfId="33929"/>
    <cellStyle name="Suma 2 42" xfId="33930"/>
    <cellStyle name="Suma 2 42 2" xfId="33931"/>
    <cellStyle name="Suma 2 42 3" xfId="33932"/>
    <cellStyle name="Suma 2 42 4" xfId="33933"/>
    <cellStyle name="Suma 2 43" xfId="33934"/>
    <cellStyle name="Suma 2 43 2" xfId="33935"/>
    <cellStyle name="Suma 2 43 3" xfId="33936"/>
    <cellStyle name="Suma 2 43 4" xfId="33937"/>
    <cellStyle name="Suma 2 44" xfId="33938"/>
    <cellStyle name="Suma 2 44 2" xfId="33939"/>
    <cellStyle name="Suma 2 44 3" xfId="33940"/>
    <cellStyle name="Suma 2 44 4" xfId="33941"/>
    <cellStyle name="Suma 2 45" xfId="33942"/>
    <cellStyle name="Suma 2 45 2" xfId="33943"/>
    <cellStyle name="Suma 2 45 3" xfId="33944"/>
    <cellStyle name="Suma 2 45 4" xfId="33945"/>
    <cellStyle name="Suma 2 46" xfId="33946"/>
    <cellStyle name="Suma 2 46 2" xfId="33947"/>
    <cellStyle name="Suma 2 46 3" xfId="33948"/>
    <cellStyle name="Suma 2 46 4" xfId="33949"/>
    <cellStyle name="Suma 2 47" xfId="33950"/>
    <cellStyle name="Suma 2 47 2" xfId="33951"/>
    <cellStyle name="Suma 2 47 3" xfId="33952"/>
    <cellStyle name="Suma 2 47 4" xfId="33953"/>
    <cellStyle name="Suma 2 48" xfId="33954"/>
    <cellStyle name="Suma 2 48 2" xfId="33955"/>
    <cellStyle name="Suma 2 48 3" xfId="33956"/>
    <cellStyle name="Suma 2 48 4" xfId="33957"/>
    <cellStyle name="Suma 2 49" xfId="33958"/>
    <cellStyle name="Suma 2 49 2" xfId="33959"/>
    <cellStyle name="Suma 2 49 3" xfId="33960"/>
    <cellStyle name="Suma 2 49 4" xfId="33961"/>
    <cellStyle name="Suma 2 5" xfId="33962"/>
    <cellStyle name="Suma 2 5 10" xfId="33963"/>
    <cellStyle name="Suma 2 5 10 2" xfId="33964"/>
    <cellStyle name="Suma 2 5 10 3" xfId="33965"/>
    <cellStyle name="Suma 2 5 10 4" xfId="33966"/>
    <cellStyle name="Suma 2 5 11" xfId="33967"/>
    <cellStyle name="Suma 2 5 11 2" xfId="33968"/>
    <cellStyle name="Suma 2 5 11 3" xfId="33969"/>
    <cellStyle name="Suma 2 5 11 4" xfId="33970"/>
    <cellStyle name="Suma 2 5 12" xfId="33971"/>
    <cellStyle name="Suma 2 5 12 2" xfId="33972"/>
    <cellStyle name="Suma 2 5 12 3" xfId="33973"/>
    <cellStyle name="Suma 2 5 12 4" xfId="33974"/>
    <cellStyle name="Suma 2 5 13" xfId="33975"/>
    <cellStyle name="Suma 2 5 13 2" xfId="33976"/>
    <cellStyle name="Suma 2 5 13 3" xfId="33977"/>
    <cellStyle name="Suma 2 5 13 4" xfId="33978"/>
    <cellStyle name="Suma 2 5 14" xfId="33979"/>
    <cellStyle name="Suma 2 5 14 2" xfId="33980"/>
    <cellStyle name="Suma 2 5 14 3" xfId="33981"/>
    <cellStyle name="Suma 2 5 14 4" xfId="33982"/>
    <cellStyle name="Suma 2 5 15" xfId="33983"/>
    <cellStyle name="Suma 2 5 15 2" xfId="33984"/>
    <cellStyle name="Suma 2 5 15 3" xfId="33985"/>
    <cellStyle name="Suma 2 5 15 4" xfId="33986"/>
    <cellStyle name="Suma 2 5 16" xfId="33987"/>
    <cellStyle name="Suma 2 5 16 2" xfId="33988"/>
    <cellStyle name="Suma 2 5 16 3" xfId="33989"/>
    <cellStyle name="Suma 2 5 16 4" xfId="33990"/>
    <cellStyle name="Suma 2 5 17" xfId="33991"/>
    <cellStyle name="Suma 2 5 17 2" xfId="33992"/>
    <cellStyle name="Suma 2 5 17 3" xfId="33993"/>
    <cellStyle name="Suma 2 5 17 4" xfId="33994"/>
    <cellStyle name="Suma 2 5 18" xfId="33995"/>
    <cellStyle name="Suma 2 5 18 2" xfId="33996"/>
    <cellStyle name="Suma 2 5 18 3" xfId="33997"/>
    <cellStyle name="Suma 2 5 18 4" xfId="33998"/>
    <cellStyle name="Suma 2 5 19" xfId="33999"/>
    <cellStyle name="Suma 2 5 19 2" xfId="34000"/>
    <cellStyle name="Suma 2 5 19 3" xfId="34001"/>
    <cellStyle name="Suma 2 5 19 4" xfId="34002"/>
    <cellStyle name="Suma 2 5 2" xfId="34003"/>
    <cellStyle name="Suma 2 5 2 2" xfId="34004"/>
    <cellStyle name="Suma 2 5 2 3" xfId="34005"/>
    <cellStyle name="Suma 2 5 2 4" xfId="34006"/>
    <cellStyle name="Suma 2 5 20" xfId="34007"/>
    <cellStyle name="Suma 2 5 20 2" xfId="34008"/>
    <cellStyle name="Suma 2 5 20 3" xfId="34009"/>
    <cellStyle name="Suma 2 5 20 4" xfId="34010"/>
    <cellStyle name="Suma 2 5 21" xfId="34011"/>
    <cellStyle name="Suma 2 5 21 2" xfId="34012"/>
    <cellStyle name="Suma 2 5 21 3" xfId="34013"/>
    <cellStyle name="Suma 2 5 22" xfId="34014"/>
    <cellStyle name="Suma 2 5 22 2" xfId="34015"/>
    <cellStyle name="Suma 2 5 22 3" xfId="34016"/>
    <cellStyle name="Suma 2 5 23" xfId="34017"/>
    <cellStyle name="Suma 2 5 23 2" xfId="34018"/>
    <cellStyle name="Suma 2 5 23 3" xfId="34019"/>
    <cellStyle name="Suma 2 5 24" xfId="34020"/>
    <cellStyle name="Suma 2 5 24 2" xfId="34021"/>
    <cellStyle name="Suma 2 5 24 3" xfId="34022"/>
    <cellStyle name="Suma 2 5 25" xfId="34023"/>
    <cellStyle name="Suma 2 5 25 2" xfId="34024"/>
    <cellStyle name="Suma 2 5 25 3" xfId="34025"/>
    <cellStyle name="Suma 2 5 26" xfId="34026"/>
    <cellStyle name="Suma 2 5 26 2" xfId="34027"/>
    <cellStyle name="Suma 2 5 26 3" xfId="34028"/>
    <cellStyle name="Suma 2 5 27" xfId="34029"/>
    <cellStyle name="Suma 2 5 27 2" xfId="34030"/>
    <cellStyle name="Suma 2 5 27 3" xfId="34031"/>
    <cellStyle name="Suma 2 5 28" xfId="34032"/>
    <cellStyle name="Suma 2 5 28 2" xfId="34033"/>
    <cellStyle name="Suma 2 5 28 3" xfId="34034"/>
    <cellStyle name="Suma 2 5 29" xfId="34035"/>
    <cellStyle name="Suma 2 5 29 2" xfId="34036"/>
    <cellStyle name="Suma 2 5 29 3" xfId="34037"/>
    <cellStyle name="Suma 2 5 3" xfId="34038"/>
    <cellStyle name="Suma 2 5 3 2" xfId="34039"/>
    <cellStyle name="Suma 2 5 3 3" xfId="34040"/>
    <cellStyle name="Suma 2 5 3 4" xfId="34041"/>
    <cellStyle name="Suma 2 5 30" xfId="34042"/>
    <cellStyle name="Suma 2 5 30 2" xfId="34043"/>
    <cellStyle name="Suma 2 5 30 3" xfId="34044"/>
    <cellStyle name="Suma 2 5 31" xfId="34045"/>
    <cellStyle name="Suma 2 5 31 2" xfId="34046"/>
    <cellStyle name="Suma 2 5 31 3" xfId="34047"/>
    <cellStyle name="Suma 2 5 32" xfId="34048"/>
    <cellStyle name="Suma 2 5 32 2" xfId="34049"/>
    <cellStyle name="Suma 2 5 32 3" xfId="34050"/>
    <cellStyle name="Suma 2 5 33" xfId="34051"/>
    <cellStyle name="Suma 2 5 33 2" xfId="34052"/>
    <cellStyle name="Suma 2 5 33 3" xfId="34053"/>
    <cellStyle name="Suma 2 5 34" xfId="34054"/>
    <cellStyle name="Suma 2 5 34 2" xfId="34055"/>
    <cellStyle name="Suma 2 5 34 3" xfId="34056"/>
    <cellStyle name="Suma 2 5 35" xfId="34057"/>
    <cellStyle name="Suma 2 5 35 2" xfId="34058"/>
    <cellStyle name="Suma 2 5 35 3" xfId="34059"/>
    <cellStyle name="Suma 2 5 36" xfId="34060"/>
    <cellStyle name="Suma 2 5 36 2" xfId="34061"/>
    <cellStyle name="Suma 2 5 36 3" xfId="34062"/>
    <cellStyle name="Suma 2 5 37" xfId="34063"/>
    <cellStyle name="Suma 2 5 37 2" xfId="34064"/>
    <cellStyle name="Suma 2 5 37 3" xfId="34065"/>
    <cellStyle name="Suma 2 5 38" xfId="34066"/>
    <cellStyle name="Suma 2 5 38 2" xfId="34067"/>
    <cellStyle name="Suma 2 5 38 3" xfId="34068"/>
    <cellStyle name="Suma 2 5 39" xfId="34069"/>
    <cellStyle name="Suma 2 5 39 2" xfId="34070"/>
    <cellStyle name="Suma 2 5 39 3" xfId="34071"/>
    <cellStyle name="Suma 2 5 4" xfId="34072"/>
    <cellStyle name="Suma 2 5 4 2" xfId="34073"/>
    <cellStyle name="Suma 2 5 4 3" xfId="34074"/>
    <cellStyle name="Suma 2 5 4 4" xfId="34075"/>
    <cellStyle name="Suma 2 5 40" xfId="34076"/>
    <cellStyle name="Suma 2 5 40 2" xfId="34077"/>
    <cellStyle name="Suma 2 5 40 3" xfId="34078"/>
    <cellStyle name="Suma 2 5 41" xfId="34079"/>
    <cellStyle name="Suma 2 5 41 2" xfId="34080"/>
    <cellStyle name="Suma 2 5 41 3" xfId="34081"/>
    <cellStyle name="Suma 2 5 42" xfId="34082"/>
    <cellStyle name="Suma 2 5 42 2" xfId="34083"/>
    <cellStyle name="Suma 2 5 42 3" xfId="34084"/>
    <cellStyle name="Suma 2 5 43" xfId="34085"/>
    <cellStyle name="Suma 2 5 43 2" xfId="34086"/>
    <cellStyle name="Suma 2 5 43 3" xfId="34087"/>
    <cellStyle name="Suma 2 5 44" xfId="34088"/>
    <cellStyle name="Suma 2 5 44 2" xfId="34089"/>
    <cellStyle name="Suma 2 5 44 3" xfId="34090"/>
    <cellStyle name="Suma 2 5 45" xfId="34091"/>
    <cellStyle name="Suma 2 5 45 2" xfId="34092"/>
    <cellStyle name="Suma 2 5 45 3" xfId="34093"/>
    <cellStyle name="Suma 2 5 46" xfId="34094"/>
    <cellStyle name="Suma 2 5 46 2" xfId="34095"/>
    <cellStyle name="Suma 2 5 46 3" xfId="34096"/>
    <cellStyle name="Suma 2 5 47" xfId="34097"/>
    <cellStyle name="Suma 2 5 47 2" xfId="34098"/>
    <cellStyle name="Suma 2 5 47 3" xfId="34099"/>
    <cellStyle name="Suma 2 5 48" xfId="34100"/>
    <cellStyle name="Suma 2 5 48 2" xfId="34101"/>
    <cellStyle name="Suma 2 5 48 3" xfId="34102"/>
    <cellStyle name="Suma 2 5 49" xfId="34103"/>
    <cellStyle name="Suma 2 5 49 2" xfId="34104"/>
    <cellStyle name="Suma 2 5 49 3" xfId="34105"/>
    <cellStyle name="Suma 2 5 5" xfId="34106"/>
    <cellStyle name="Suma 2 5 5 2" xfId="34107"/>
    <cellStyle name="Suma 2 5 5 3" xfId="34108"/>
    <cellStyle name="Suma 2 5 5 4" xfId="34109"/>
    <cellStyle name="Suma 2 5 50" xfId="34110"/>
    <cellStyle name="Suma 2 5 50 2" xfId="34111"/>
    <cellStyle name="Suma 2 5 50 3" xfId="34112"/>
    <cellStyle name="Suma 2 5 51" xfId="34113"/>
    <cellStyle name="Suma 2 5 51 2" xfId="34114"/>
    <cellStyle name="Suma 2 5 51 3" xfId="34115"/>
    <cellStyle name="Suma 2 5 52" xfId="34116"/>
    <cellStyle name="Suma 2 5 52 2" xfId="34117"/>
    <cellStyle name="Suma 2 5 52 3" xfId="34118"/>
    <cellStyle name="Suma 2 5 53" xfId="34119"/>
    <cellStyle name="Suma 2 5 53 2" xfId="34120"/>
    <cellStyle name="Suma 2 5 53 3" xfId="34121"/>
    <cellStyle name="Suma 2 5 54" xfId="34122"/>
    <cellStyle name="Suma 2 5 54 2" xfId="34123"/>
    <cellStyle name="Suma 2 5 54 3" xfId="34124"/>
    <cellStyle name="Suma 2 5 55" xfId="34125"/>
    <cellStyle name="Suma 2 5 55 2" xfId="34126"/>
    <cellStyle name="Suma 2 5 55 3" xfId="34127"/>
    <cellStyle name="Suma 2 5 56" xfId="34128"/>
    <cellStyle name="Suma 2 5 56 2" xfId="34129"/>
    <cellStyle name="Suma 2 5 56 3" xfId="34130"/>
    <cellStyle name="Suma 2 5 57" xfId="34131"/>
    <cellStyle name="Suma 2 5 58" xfId="34132"/>
    <cellStyle name="Suma 2 5 6" xfId="34133"/>
    <cellStyle name="Suma 2 5 6 2" xfId="34134"/>
    <cellStyle name="Suma 2 5 6 3" xfId="34135"/>
    <cellStyle name="Suma 2 5 6 4" xfId="34136"/>
    <cellStyle name="Suma 2 5 7" xfId="34137"/>
    <cellStyle name="Suma 2 5 7 2" xfId="34138"/>
    <cellStyle name="Suma 2 5 7 3" xfId="34139"/>
    <cellStyle name="Suma 2 5 7 4" xfId="34140"/>
    <cellStyle name="Suma 2 5 8" xfId="34141"/>
    <cellStyle name="Suma 2 5 8 2" xfId="34142"/>
    <cellStyle name="Suma 2 5 8 3" xfId="34143"/>
    <cellStyle name="Suma 2 5 8 4" xfId="34144"/>
    <cellStyle name="Suma 2 5 9" xfId="34145"/>
    <cellStyle name="Suma 2 5 9 2" xfId="34146"/>
    <cellStyle name="Suma 2 5 9 3" xfId="34147"/>
    <cellStyle name="Suma 2 5 9 4" xfId="34148"/>
    <cellStyle name="Suma 2 50" xfId="34149"/>
    <cellStyle name="Suma 2 50 2" xfId="34150"/>
    <cellStyle name="Suma 2 50 3" xfId="34151"/>
    <cellStyle name="Suma 2 50 4" xfId="34152"/>
    <cellStyle name="Suma 2 51" xfId="34153"/>
    <cellStyle name="Suma 2 51 2" xfId="34154"/>
    <cellStyle name="Suma 2 51 3" xfId="34155"/>
    <cellStyle name="Suma 2 51 4" xfId="34156"/>
    <cellStyle name="Suma 2 52" xfId="34157"/>
    <cellStyle name="Suma 2 52 2" xfId="34158"/>
    <cellStyle name="Suma 2 52 3" xfId="34159"/>
    <cellStyle name="Suma 2 52 4" xfId="34160"/>
    <cellStyle name="Suma 2 53" xfId="34161"/>
    <cellStyle name="Suma 2 53 2" xfId="34162"/>
    <cellStyle name="Suma 2 53 3" xfId="34163"/>
    <cellStyle name="Suma 2 53 4" xfId="34164"/>
    <cellStyle name="Suma 2 54" xfId="34165"/>
    <cellStyle name="Suma 2 54 2" xfId="34166"/>
    <cellStyle name="Suma 2 54 3" xfId="34167"/>
    <cellStyle name="Suma 2 54 4" xfId="34168"/>
    <cellStyle name="Suma 2 55" xfId="34169"/>
    <cellStyle name="Suma 2 55 2" xfId="34170"/>
    <cellStyle name="Suma 2 55 3" xfId="34171"/>
    <cellStyle name="Suma 2 55 4" xfId="34172"/>
    <cellStyle name="Suma 2 56" xfId="34173"/>
    <cellStyle name="Suma 2 56 2" xfId="34174"/>
    <cellStyle name="Suma 2 56 3" xfId="34175"/>
    <cellStyle name="Suma 2 56 4" xfId="34176"/>
    <cellStyle name="Suma 2 57" xfId="34177"/>
    <cellStyle name="Suma 2 57 2" xfId="34178"/>
    <cellStyle name="Suma 2 57 3" xfId="34179"/>
    <cellStyle name="Suma 2 57 4" xfId="34180"/>
    <cellStyle name="Suma 2 58" xfId="34181"/>
    <cellStyle name="Suma 2 58 2" xfId="34182"/>
    <cellStyle name="Suma 2 58 3" xfId="34183"/>
    <cellStyle name="Suma 2 58 4" xfId="34184"/>
    <cellStyle name="Suma 2 59" xfId="34185"/>
    <cellStyle name="Suma 2 59 2" xfId="34186"/>
    <cellStyle name="Suma 2 59 3" xfId="34187"/>
    <cellStyle name="Suma 2 59 4" xfId="34188"/>
    <cellStyle name="Suma 2 6" xfId="34189"/>
    <cellStyle name="Suma 2 6 10" xfId="34190"/>
    <cellStyle name="Suma 2 6 10 2" xfId="34191"/>
    <cellStyle name="Suma 2 6 10 3" xfId="34192"/>
    <cellStyle name="Suma 2 6 10 4" xfId="34193"/>
    <cellStyle name="Suma 2 6 11" xfId="34194"/>
    <cellStyle name="Suma 2 6 11 2" xfId="34195"/>
    <cellStyle name="Suma 2 6 11 3" xfId="34196"/>
    <cellStyle name="Suma 2 6 11 4" xfId="34197"/>
    <cellStyle name="Suma 2 6 12" xfId="34198"/>
    <cellStyle name="Suma 2 6 12 2" xfId="34199"/>
    <cellStyle name="Suma 2 6 12 3" xfId="34200"/>
    <cellStyle name="Suma 2 6 12 4" xfId="34201"/>
    <cellStyle name="Suma 2 6 13" xfId="34202"/>
    <cellStyle name="Suma 2 6 13 2" xfId="34203"/>
    <cellStyle name="Suma 2 6 13 3" xfId="34204"/>
    <cellStyle name="Suma 2 6 13 4" xfId="34205"/>
    <cellStyle name="Suma 2 6 14" xfId="34206"/>
    <cellStyle name="Suma 2 6 14 2" xfId="34207"/>
    <cellStyle name="Suma 2 6 14 3" xfId="34208"/>
    <cellStyle name="Suma 2 6 14 4" xfId="34209"/>
    <cellStyle name="Suma 2 6 15" xfId="34210"/>
    <cellStyle name="Suma 2 6 15 2" xfId="34211"/>
    <cellStyle name="Suma 2 6 15 3" xfId="34212"/>
    <cellStyle name="Suma 2 6 15 4" xfId="34213"/>
    <cellStyle name="Suma 2 6 16" xfId="34214"/>
    <cellStyle name="Suma 2 6 16 2" xfId="34215"/>
    <cellStyle name="Suma 2 6 16 3" xfId="34216"/>
    <cellStyle name="Suma 2 6 16 4" xfId="34217"/>
    <cellStyle name="Suma 2 6 17" xfId="34218"/>
    <cellStyle name="Suma 2 6 17 2" xfId="34219"/>
    <cellStyle name="Suma 2 6 17 3" xfId="34220"/>
    <cellStyle name="Suma 2 6 17 4" xfId="34221"/>
    <cellStyle name="Suma 2 6 18" xfId="34222"/>
    <cellStyle name="Suma 2 6 18 2" xfId="34223"/>
    <cellStyle name="Suma 2 6 18 3" xfId="34224"/>
    <cellStyle name="Suma 2 6 18 4" xfId="34225"/>
    <cellStyle name="Suma 2 6 19" xfId="34226"/>
    <cellStyle name="Suma 2 6 19 2" xfId="34227"/>
    <cellStyle name="Suma 2 6 19 3" xfId="34228"/>
    <cellStyle name="Suma 2 6 19 4" xfId="34229"/>
    <cellStyle name="Suma 2 6 2" xfId="34230"/>
    <cellStyle name="Suma 2 6 2 2" xfId="34231"/>
    <cellStyle name="Suma 2 6 2 3" xfId="34232"/>
    <cellStyle name="Suma 2 6 2 4" xfId="34233"/>
    <cellStyle name="Suma 2 6 20" xfId="34234"/>
    <cellStyle name="Suma 2 6 20 2" xfId="34235"/>
    <cellStyle name="Suma 2 6 20 3" xfId="34236"/>
    <cellStyle name="Suma 2 6 20 4" xfId="34237"/>
    <cellStyle name="Suma 2 6 21" xfId="34238"/>
    <cellStyle name="Suma 2 6 21 2" xfId="34239"/>
    <cellStyle name="Suma 2 6 21 3" xfId="34240"/>
    <cellStyle name="Suma 2 6 22" xfId="34241"/>
    <cellStyle name="Suma 2 6 22 2" xfId="34242"/>
    <cellStyle name="Suma 2 6 22 3" xfId="34243"/>
    <cellStyle name="Suma 2 6 23" xfId="34244"/>
    <cellStyle name="Suma 2 6 23 2" xfId="34245"/>
    <cellStyle name="Suma 2 6 23 3" xfId="34246"/>
    <cellStyle name="Suma 2 6 24" xfId="34247"/>
    <cellStyle name="Suma 2 6 24 2" xfId="34248"/>
    <cellStyle name="Suma 2 6 24 3" xfId="34249"/>
    <cellStyle name="Suma 2 6 25" xfId="34250"/>
    <cellStyle name="Suma 2 6 25 2" xfId="34251"/>
    <cellStyle name="Suma 2 6 25 3" xfId="34252"/>
    <cellStyle name="Suma 2 6 26" xfId="34253"/>
    <cellStyle name="Suma 2 6 26 2" xfId="34254"/>
    <cellStyle name="Suma 2 6 26 3" xfId="34255"/>
    <cellStyle name="Suma 2 6 27" xfId="34256"/>
    <cellStyle name="Suma 2 6 27 2" xfId="34257"/>
    <cellStyle name="Suma 2 6 27 3" xfId="34258"/>
    <cellStyle name="Suma 2 6 28" xfId="34259"/>
    <cellStyle name="Suma 2 6 28 2" xfId="34260"/>
    <cellStyle name="Suma 2 6 28 3" xfId="34261"/>
    <cellStyle name="Suma 2 6 29" xfId="34262"/>
    <cellStyle name="Suma 2 6 29 2" xfId="34263"/>
    <cellStyle name="Suma 2 6 29 3" xfId="34264"/>
    <cellStyle name="Suma 2 6 3" xfId="34265"/>
    <cellStyle name="Suma 2 6 3 2" xfId="34266"/>
    <cellStyle name="Suma 2 6 3 3" xfId="34267"/>
    <cellStyle name="Suma 2 6 3 4" xfId="34268"/>
    <cellStyle name="Suma 2 6 30" xfId="34269"/>
    <cellStyle name="Suma 2 6 30 2" xfId="34270"/>
    <cellStyle name="Suma 2 6 30 3" xfId="34271"/>
    <cellStyle name="Suma 2 6 31" xfId="34272"/>
    <cellStyle name="Suma 2 6 31 2" xfId="34273"/>
    <cellStyle name="Suma 2 6 31 3" xfId="34274"/>
    <cellStyle name="Suma 2 6 32" xfId="34275"/>
    <cellStyle name="Suma 2 6 32 2" xfId="34276"/>
    <cellStyle name="Suma 2 6 32 3" xfId="34277"/>
    <cellStyle name="Suma 2 6 33" xfId="34278"/>
    <cellStyle name="Suma 2 6 33 2" xfId="34279"/>
    <cellStyle name="Suma 2 6 33 3" xfId="34280"/>
    <cellStyle name="Suma 2 6 34" xfId="34281"/>
    <cellStyle name="Suma 2 6 34 2" xfId="34282"/>
    <cellStyle name="Suma 2 6 34 3" xfId="34283"/>
    <cellStyle name="Suma 2 6 35" xfId="34284"/>
    <cellStyle name="Suma 2 6 35 2" xfId="34285"/>
    <cellStyle name="Suma 2 6 35 3" xfId="34286"/>
    <cellStyle name="Suma 2 6 36" xfId="34287"/>
    <cellStyle name="Suma 2 6 36 2" xfId="34288"/>
    <cellStyle name="Suma 2 6 36 3" xfId="34289"/>
    <cellStyle name="Suma 2 6 37" xfId="34290"/>
    <cellStyle name="Suma 2 6 37 2" xfId="34291"/>
    <cellStyle name="Suma 2 6 37 3" xfId="34292"/>
    <cellStyle name="Suma 2 6 38" xfId="34293"/>
    <cellStyle name="Suma 2 6 38 2" xfId="34294"/>
    <cellStyle name="Suma 2 6 38 3" xfId="34295"/>
    <cellStyle name="Suma 2 6 39" xfId="34296"/>
    <cellStyle name="Suma 2 6 39 2" xfId="34297"/>
    <cellStyle name="Suma 2 6 39 3" xfId="34298"/>
    <cellStyle name="Suma 2 6 4" xfId="34299"/>
    <cellStyle name="Suma 2 6 4 2" xfId="34300"/>
    <cellStyle name="Suma 2 6 4 3" xfId="34301"/>
    <cellStyle name="Suma 2 6 4 4" xfId="34302"/>
    <cellStyle name="Suma 2 6 40" xfId="34303"/>
    <cellStyle name="Suma 2 6 40 2" xfId="34304"/>
    <cellStyle name="Suma 2 6 40 3" xfId="34305"/>
    <cellStyle name="Suma 2 6 41" xfId="34306"/>
    <cellStyle name="Suma 2 6 41 2" xfId="34307"/>
    <cellStyle name="Suma 2 6 41 3" xfId="34308"/>
    <cellStyle name="Suma 2 6 42" xfId="34309"/>
    <cellStyle name="Suma 2 6 42 2" xfId="34310"/>
    <cellStyle name="Suma 2 6 42 3" xfId="34311"/>
    <cellStyle name="Suma 2 6 43" xfId="34312"/>
    <cellStyle name="Suma 2 6 43 2" xfId="34313"/>
    <cellStyle name="Suma 2 6 43 3" xfId="34314"/>
    <cellStyle name="Suma 2 6 44" xfId="34315"/>
    <cellStyle name="Suma 2 6 44 2" xfId="34316"/>
    <cellStyle name="Suma 2 6 44 3" xfId="34317"/>
    <cellStyle name="Suma 2 6 45" xfId="34318"/>
    <cellStyle name="Suma 2 6 45 2" xfId="34319"/>
    <cellStyle name="Suma 2 6 45 3" xfId="34320"/>
    <cellStyle name="Suma 2 6 46" xfId="34321"/>
    <cellStyle name="Suma 2 6 46 2" xfId="34322"/>
    <cellStyle name="Suma 2 6 46 3" xfId="34323"/>
    <cellStyle name="Suma 2 6 47" xfId="34324"/>
    <cellStyle name="Suma 2 6 47 2" xfId="34325"/>
    <cellStyle name="Suma 2 6 47 3" xfId="34326"/>
    <cellStyle name="Suma 2 6 48" xfId="34327"/>
    <cellStyle name="Suma 2 6 48 2" xfId="34328"/>
    <cellStyle name="Suma 2 6 48 3" xfId="34329"/>
    <cellStyle name="Suma 2 6 49" xfId="34330"/>
    <cellStyle name="Suma 2 6 49 2" xfId="34331"/>
    <cellStyle name="Suma 2 6 49 3" xfId="34332"/>
    <cellStyle name="Suma 2 6 5" xfId="34333"/>
    <cellStyle name="Suma 2 6 5 2" xfId="34334"/>
    <cellStyle name="Suma 2 6 5 3" xfId="34335"/>
    <cellStyle name="Suma 2 6 5 4" xfId="34336"/>
    <cellStyle name="Suma 2 6 50" xfId="34337"/>
    <cellStyle name="Suma 2 6 50 2" xfId="34338"/>
    <cellStyle name="Suma 2 6 50 3" xfId="34339"/>
    <cellStyle name="Suma 2 6 51" xfId="34340"/>
    <cellStyle name="Suma 2 6 51 2" xfId="34341"/>
    <cellStyle name="Suma 2 6 51 3" xfId="34342"/>
    <cellStyle name="Suma 2 6 52" xfId="34343"/>
    <cellStyle name="Suma 2 6 52 2" xfId="34344"/>
    <cellStyle name="Suma 2 6 52 3" xfId="34345"/>
    <cellStyle name="Suma 2 6 53" xfId="34346"/>
    <cellStyle name="Suma 2 6 53 2" xfId="34347"/>
    <cellStyle name="Suma 2 6 53 3" xfId="34348"/>
    <cellStyle name="Suma 2 6 54" xfId="34349"/>
    <cellStyle name="Suma 2 6 54 2" xfId="34350"/>
    <cellStyle name="Suma 2 6 54 3" xfId="34351"/>
    <cellStyle name="Suma 2 6 55" xfId="34352"/>
    <cellStyle name="Suma 2 6 55 2" xfId="34353"/>
    <cellStyle name="Suma 2 6 55 3" xfId="34354"/>
    <cellStyle name="Suma 2 6 56" xfId="34355"/>
    <cellStyle name="Suma 2 6 56 2" xfId="34356"/>
    <cellStyle name="Suma 2 6 56 3" xfId="34357"/>
    <cellStyle name="Suma 2 6 57" xfId="34358"/>
    <cellStyle name="Suma 2 6 58" xfId="34359"/>
    <cellStyle name="Suma 2 6 6" xfId="34360"/>
    <cellStyle name="Suma 2 6 6 2" xfId="34361"/>
    <cellStyle name="Suma 2 6 6 3" xfId="34362"/>
    <cellStyle name="Suma 2 6 6 4" xfId="34363"/>
    <cellStyle name="Suma 2 6 7" xfId="34364"/>
    <cellStyle name="Suma 2 6 7 2" xfId="34365"/>
    <cellStyle name="Suma 2 6 7 3" xfId="34366"/>
    <cellStyle name="Suma 2 6 7 4" xfId="34367"/>
    <cellStyle name="Suma 2 6 8" xfId="34368"/>
    <cellStyle name="Suma 2 6 8 2" xfId="34369"/>
    <cellStyle name="Suma 2 6 8 3" xfId="34370"/>
    <cellStyle name="Suma 2 6 8 4" xfId="34371"/>
    <cellStyle name="Suma 2 6 9" xfId="34372"/>
    <cellStyle name="Suma 2 6 9 2" xfId="34373"/>
    <cellStyle name="Suma 2 6 9 3" xfId="34374"/>
    <cellStyle name="Suma 2 6 9 4" xfId="34375"/>
    <cellStyle name="Suma 2 60" xfId="34376"/>
    <cellStyle name="Suma 2 60 2" xfId="34377"/>
    <cellStyle name="Suma 2 60 3" xfId="34378"/>
    <cellStyle name="Suma 2 60 4" xfId="34379"/>
    <cellStyle name="Suma 2 61" xfId="34380"/>
    <cellStyle name="Suma 2 61 2" xfId="34381"/>
    <cellStyle name="Suma 2 61 3" xfId="34382"/>
    <cellStyle name="Suma 2 61 4" xfId="34383"/>
    <cellStyle name="Suma 2 62" xfId="34384"/>
    <cellStyle name="Suma 2 62 2" xfId="34385"/>
    <cellStyle name="Suma 2 62 3" xfId="34386"/>
    <cellStyle name="Suma 2 62 4" xfId="34387"/>
    <cellStyle name="Suma 2 63" xfId="34388"/>
    <cellStyle name="Suma 2 63 2" xfId="34389"/>
    <cellStyle name="Suma 2 63 3" xfId="34390"/>
    <cellStyle name="Suma 2 63 4" xfId="34391"/>
    <cellStyle name="Suma 2 64" xfId="34392"/>
    <cellStyle name="Suma 2 64 2" xfId="34393"/>
    <cellStyle name="Suma 2 64 3" xfId="34394"/>
    <cellStyle name="Suma 2 64 4" xfId="34395"/>
    <cellStyle name="Suma 2 65" xfId="34396"/>
    <cellStyle name="Suma 2 65 2" xfId="34397"/>
    <cellStyle name="Suma 2 65 3" xfId="34398"/>
    <cellStyle name="Suma 2 65 4" xfId="34399"/>
    <cellStyle name="Suma 2 66" xfId="34400"/>
    <cellStyle name="Suma 2 66 2" xfId="34401"/>
    <cellStyle name="Suma 2 66 3" xfId="34402"/>
    <cellStyle name="Suma 2 66 4" xfId="34403"/>
    <cellStyle name="Suma 2 67" xfId="34404"/>
    <cellStyle name="Suma 2 67 2" xfId="34405"/>
    <cellStyle name="Suma 2 67 3" xfId="34406"/>
    <cellStyle name="Suma 2 68" xfId="34407"/>
    <cellStyle name="Suma 2 68 2" xfId="34408"/>
    <cellStyle name="Suma 2 68 3" xfId="34409"/>
    <cellStyle name="Suma 2 69" xfId="34410"/>
    <cellStyle name="Suma 2 69 2" xfId="34411"/>
    <cellStyle name="Suma 2 69 3" xfId="34412"/>
    <cellStyle name="Suma 2 7" xfId="34413"/>
    <cellStyle name="Suma 2 7 10" xfId="34414"/>
    <cellStyle name="Suma 2 7 10 2" xfId="34415"/>
    <cellStyle name="Suma 2 7 10 3" xfId="34416"/>
    <cellStyle name="Suma 2 7 10 4" xfId="34417"/>
    <cellStyle name="Suma 2 7 11" xfId="34418"/>
    <cellStyle name="Suma 2 7 11 2" xfId="34419"/>
    <cellStyle name="Suma 2 7 11 3" xfId="34420"/>
    <cellStyle name="Suma 2 7 11 4" xfId="34421"/>
    <cellStyle name="Suma 2 7 12" xfId="34422"/>
    <cellStyle name="Suma 2 7 12 2" xfId="34423"/>
    <cellStyle name="Suma 2 7 12 3" xfId="34424"/>
    <cellStyle name="Suma 2 7 12 4" xfId="34425"/>
    <cellStyle name="Suma 2 7 13" xfId="34426"/>
    <cellStyle name="Suma 2 7 13 2" xfId="34427"/>
    <cellStyle name="Suma 2 7 13 3" xfId="34428"/>
    <cellStyle name="Suma 2 7 13 4" xfId="34429"/>
    <cellStyle name="Suma 2 7 14" xfId="34430"/>
    <cellStyle name="Suma 2 7 14 2" xfId="34431"/>
    <cellStyle name="Suma 2 7 14 3" xfId="34432"/>
    <cellStyle name="Suma 2 7 14 4" xfId="34433"/>
    <cellStyle name="Suma 2 7 15" xfId="34434"/>
    <cellStyle name="Suma 2 7 15 2" xfId="34435"/>
    <cellStyle name="Suma 2 7 15 3" xfId="34436"/>
    <cellStyle name="Suma 2 7 15 4" xfId="34437"/>
    <cellStyle name="Suma 2 7 16" xfId="34438"/>
    <cellStyle name="Suma 2 7 16 2" xfId="34439"/>
    <cellStyle name="Suma 2 7 16 3" xfId="34440"/>
    <cellStyle name="Suma 2 7 16 4" xfId="34441"/>
    <cellStyle name="Suma 2 7 17" xfId="34442"/>
    <cellStyle name="Suma 2 7 17 2" xfId="34443"/>
    <cellStyle name="Suma 2 7 17 3" xfId="34444"/>
    <cellStyle name="Suma 2 7 17 4" xfId="34445"/>
    <cellStyle name="Suma 2 7 18" xfId="34446"/>
    <cellStyle name="Suma 2 7 18 2" xfId="34447"/>
    <cellStyle name="Suma 2 7 18 3" xfId="34448"/>
    <cellStyle name="Suma 2 7 18 4" xfId="34449"/>
    <cellStyle name="Suma 2 7 19" xfId="34450"/>
    <cellStyle name="Suma 2 7 19 2" xfId="34451"/>
    <cellStyle name="Suma 2 7 19 3" xfId="34452"/>
    <cellStyle name="Suma 2 7 19 4" xfId="34453"/>
    <cellStyle name="Suma 2 7 2" xfId="34454"/>
    <cellStyle name="Suma 2 7 2 2" xfId="34455"/>
    <cellStyle name="Suma 2 7 2 3" xfId="34456"/>
    <cellStyle name="Suma 2 7 2 4" xfId="34457"/>
    <cellStyle name="Suma 2 7 20" xfId="34458"/>
    <cellStyle name="Suma 2 7 20 2" xfId="34459"/>
    <cellStyle name="Suma 2 7 20 3" xfId="34460"/>
    <cellStyle name="Suma 2 7 20 4" xfId="34461"/>
    <cellStyle name="Suma 2 7 21" xfId="34462"/>
    <cellStyle name="Suma 2 7 21 2" xfId="34463"/>
    <cellStyle name="Suma 2 7 21 3" xfId="34464"/>
    <cellStyle name="Suma 2 7 22" xfId="34465"/>
    <cellStyle name="Suma 2 7 22 2" xfId="34466"/>
    <cellStyle name="Suma 2 7 22 3" xfId="34467"/>
    <cellStyle name="Suma 2 7 23" xfId="34468"/>
    <cellStyle name="Suma 2 7 23 2" xfId="34469"/>
    <cellStyle name="Suma 2 7 23 3" xfId="34470"/>
    <cellStyle name="Suma 2 7 24" xfId="34471"/>
    <cellStyle name="Suma 2 7 24 2" xfId="34472"/>
    <cellStyle name="Suma 2 7 24 3" xfId="34473"/>
    <cellStyle name="Suma 2 7 25" xfId="34474"/>
    <cellStyle name="Suma 2 7 25 2" xfId="34475"/>
    <cellStyle name="Suma 2 7 25 3" xfId="34476"/>
    <cellStyle name="Suma 2 7 26" xfId="34477"/>
    <cellStyle name="Suma 2 7 26 2" xfId="34478"/>
    <cellStyle name="Suma 2 7 26 3" xfId="34479"/>
    <cellStyle name="Suma 2 7 27" xfId="34480"/>
    <cellStyle name="Suma 2 7 27 2" xfId="34481"/>
    <cellStyle name="Suma 2 7 27 3" xfId="34482"/>
    <cellStyle name="Suma 2 7 28" xfId="34483"/>
    <cellStyle name="Suma 2 7 28 2" xfId="34484"/>
    <cellStyle name="Suma 2 7 28 3" xfId="34485"/>
    <cellStyle name="Suma 2 7 29" xfId="34486"/>
    <cellStyle name="Suma 2 7 29 2" xfId="34487"/>
    <cellStyle name="Suma 2 7 29 3" xfId="34488"/>
    <cellStyle name="Suma 2 7 3" xfId="34489"/>
    <cellStyle name="Suma 2 7 3 2" xfId="34490"/>
    <cellStyle name="Suma 2 7 3 3" xfId="34491"/>
    <cellStyle name="Suma 2 7 3 4" xfId="34492"/>
    <cellStyle name="Suma 2 7 30" xfId="34493"/>
    <cellStyle name="Suma 2 7 30 2" xfId="34494"/>
    <cellStyle name="Suma 2 7 30 3" xfId="34495"/>
    <cellStyle name="Suma 2 7 31" xfId="34496"/>
    <cellStyle name="Suma 2 7 31 2" xfId="34497"/>
    <cellStyle name="Suma 2 7 31 3" xfId="34498"/>
    <cellStyle name="Suma 2 7 32" xfId="34499"/>
    <cellStyle name="Suma 2 7 32 2" xfId="34500"/>
    <cellStyle name="Suma 2 7 32 3" xfId="34501"/>
    <cellStyle name="Suma 2 7 33" xfId="34502"/>
    <cellStyle name="Suma 2 7 33 2" xfId="34503"/>
    <cellStyle name="Suma 2 7 33 3" xfId="34504"/>
    <cellStyle name="Suma 2 7 34" xfId="34505"/>
    <cellStyle name="Suma 2 7 34 2" xfId="34506"/>
    <cellStyle name="Suma 2 7 34 3" xfId="34507"/>
    <cellStyle name="Suma 2 7 35" xfId="34508"/>
    <cellStyle name="Suma 2 7 35 2" xfId="34509"/>
    <cellStyle name="Suma 2 7 35 3" xfId="34510"/>
    <cellStyle name="Suma 2 7 36" xfId="34511"/>
    <cellStyle name="Suma 2 7 36 2" xfId="34512"/>
    <cellStyle name="Suma 2 7 36 3" xfId="34513"/>
    <cellStyle name="Suma 2 7 37" xfId="34514"/>
    <cellStyle name="Suma 2 7 37 2" xfId="34515"/>
    <cellStyle name="Suma 2 7 37 3" xfId="34516"/>
    <cellStyle name="Suma 2 7 38" xfId="34517"/>
    <cellStyle name="Suma 2 7 38 2" xfId="34518"/>
    <cellStyle name="Suma 2 7 38 3" xfId="34519"/>
    <cellStyle name="Suma 2 7 39" xfId="34520"/>
    <cellStyle name="Suma 2 7 39 2" xfId="34521"/>
    <cellStyle name="Suma 2 7 39 3" xfId="34522"/>
    <cellStyle name="Suma 2 7 4" xfId="34523"/>
    <cellStyle name="Suma 2 7 4 2" xfId="34524"/>
    <cellStyle name="Suma 2 7 4 3" xfId="34525"/>
    <cellStyle name="Suma 2 7 4 4" xfId="34526"/>
    <cellStyle name="Suma 2 7 40" xfId="34527"/>
    <cellStyle name="Suma 2 7 40 2" xfId="34528"/>
    <cellStyle name="Suma 2 7 40 3" xfId="34529"/>
    <cellStyle name="Suma 2 7 41" xfId="34530"/>
    <cellStyle name="Suma 2 7 41 2" xfId="34531"/>
    <cellStyle name="Suma 2 7 41 3" xfId="34532"/>
    <cellStyle name="Suma 2 7 42" xfId="34533"/>
    <cellStyle name="Suma 2 7 42 2" xfId="34534"/>
    <cellStyle name="Suma 2 7 42 3" xfId="34535"/>
    <cellStyle name="Suma 2 7 43" xfId="34536"/>
    <cellStyle name="Suma 2 7 43 2" xfId="34537"/>
    <cellStyle name="Suma 2 7 43 3" xfId="34538"/>
    <cellStyle name="Suma 2 7 44" xfId="34539"/>
    <cellStyle name="Suma 2 7 44 2" xfId="34540"/>
    <cellStyle name="Suma 2 7 44 3" xfId="34541"/>
    <cellStyle name="Suma 2 7 45" xfId="34542"/>
    <cellStyle name="Suma 2 7 45 2" xfId="34543"/>
    <cellStyle name="Suma 2 7 45 3" xfId="34544"/>
    <cellStyle name="Suma 2 7 46" xfId="34545"/>
    <cellStyle name="Suma 2 7 46 2" xfId="34546"/>
    <cellStyle name="Suma 2 7 46 3" xfId="34547"/>
    <cellStyle name="Suma 2 7 47" xfId="34548"/>
    <cellStyle name="Suma 2 7 47 2" xfId="34549"/>
    <cellStyle name="Suma 2 7 47 3" xfId="34550"/>
    <cellStyle name="Suma 2 7 48" xfId="34551"/>
    <cellStyle name="Suma 2 7 48 2" xfId="34552"/>
    <cellStyle name="Suma 2 7 48 3" xfId="34553"/>
    <cellStyle name="Suma 2 7 49" xfId="34554"/>
    <cellStyle name="Suma 2 7 49 2" xfId="34555"/>
    <cellStyle name="Suma 2 7 49 3" xfId="34556"/>
    <cellStyle name="Suma 2 7 5" xfId="34557"/>
    <cellStyle name="Suma 2 7 5 2" xfId="34558"/>
    <cellStyle name="Suma 2 7 5 3" xfId="34559"/>
    <cellStyle name="Suma 2 7 5 4" xfId="34560"/>
    <cellStyle name="Suma 2 7 50" xfId="34561"/>
    <cellStyle name="Suma 2 7 50 2" xfId="34562"/>
    <cellStyle name="Suma 2 7 50 3" xfId="34563"/>
    <cellStyle name="Suma 2 7 51" xfId="34564"/>
    <cellStyle name="Suma 2 7 51 2" xfId="34565"/>
    <cellStyle name="Suma 2 7 51 3" xfId="34566"/>
    <cellStyle name="Suma 2 7 52" xfId="34567"/>
    <cellStyle name="Suma 2 7 52 2" xfId="34568"/>
    <cellStyle name="Suma 2 7 52 3" xfId="34569"/>
    <cellStyle name="Suma 2 7 53" xfId="34570"/>
    <cellStyle name="Suma 2 7 53 2" xfId="34571"/>
    <cellStyle name="Suma 2 7 53 3" xfId="34572"/>
    <cellStyle name="Suma 2 7 54" xfId="34573"/>
    <cellStyle name="Suma 2 7 54 2" xfId="34574"/>
    <cellStyle name="Suma 2 7 54 3" xfId="34575"/>
    <cellStyle name="Suma 2 7 55" xfId="34576"/>
    <cellStyle name="Suma 2 7 55 2" xfId="34577"/>
    <cellStyle name="Suma 2 7 55 3" xfId="34578"/>
    <cellStyle name="Suma 2 7 56" xfId="34579"/>
    <cellStyle name="Suma 2 7 56 2" xfId="34580"/>
    <cellStyle name="Suma 2 7 56 3" xfId="34581"/>
    <cellStyle name="Suma 2 7 57" xfId="34582"/>
    <cellStyle name="Suma 2 7 58" xfId="34583"/>
    <cellStyle name="Suma 2 7 6" xfId="34584"/>
    <cellStyle name="Suma 2 7 6 2" xfId="34585"/>
    <cellStyle name="Suma 2 7 6 3" xfId="34586"/>
    <cellStyle name="Suma 2 7 6 4" xfId="34587"/>
    <cellStyle name="Suma 2 7 7" xfId="34588"/>
    <cellStyle name="Suma 2 7 7 2" xfId="34589"/>
    <cellStyle name="Suma 2 7 7 3" xfId="34590"/>
    <cellStyle name="Suma 2 7 7 4" xfId="34591"/>
    <cellStyle name="Suma 2 7 8" xfId="34592"/>
    <cellStyle name="Suma 2 7 8 2" xfId="34593"/>
    <cellStyle name="Suma 2 7 8 3" xfId="34594"/>
    <cellStyle name="Suma 2 7 8 4" xfId="34595"/>
    <cellStyle name="Suma 2 7 9" xfId="34596"/>
    <cellStyle name="Suma 2 7 9 2" xfId="34597"/>
    <cellStyle name="Suma 2 7 9 3" xfId="34598"/>
    <cellStyle name="Suma 2 7 9 4" xfId="34599"/>
    <cellStyle name="Suma 2 70" xfId="34600"/>
    <cellStyle name="Suma 2 70 2" xfId="34601"/>
    <cellStyle name="Suma 2 70 3" xfId="34602"/>
    <cellStyle name="Suma 2 71" xfId="34603"/>
    <cellStyle name="Suma 2 71 2" xfId="34604"/>
    <cellStyle name="Suma 2 71 3" xfId="34605"/>
    <cellStyle name="Suma 2 72" xfId="34606"/>
    <cellStyle name="Suma 2 72 2" xfId="34607"/>
    <cellStyle name="Suma 2 72 3" xfId="34608"/>
    <cellStyle name="Suma 2 73" xfId="34609"/>
    <cellStyle name="Suma 2 73 2" xfId="34610"/>
    <cellStyle name="Suma 2 73 3" xfId="34611"/>
    <cellStyle name="Suma 2 74" xfId="34612"/>
    <cellStyle name="Suma 2 74 2" xfId="34613"/>
    <cellStyle name="Suma 2 74 3" xfId="34614"/>
    <cellStyle name="Suma 2 75" xfId="34615"/>
    <cellStyle name="Suma 2 75 2" xfId="34616"/>
    <cellStyle name="Suma 2 75 3" xfId="34617"/>
    <cellStyle name="Suma 2 76" xfId="34618"/>
    <cellStyle name="Suma 2 76 2" xfId="34619"/>
    <cellStyle name="Suma 2 76 3" xfId="34620"/>
    <cellStyle name="Suma 2 77" xfId="34621"/>
    <cellStyle name="Suma 2 77 2" xfId="34622"/>
    <cellStyle name="Suma 2 77 3" xfId="34623"/>
    <cellStyle name="Suma 2 78" xfId="34624"/>
    <cellStyle name="Suma 2 78 2" xfId="34625"/>
    <cellStyle name="Suma 2 78 3" xfId="34626"/>
    <cellStyle name="Suma 2 79" xfId="34627"/>
    <cellStyle name="Suma 2 79 2" xfId="34628"/>
    <cellStyle name="Suma 2 79 3" xfId="34629"/>
    <cellStyle name="Suma 2 8" xfId="34630"/>
    <cellStyle name="Suma 2 8 10" xfId="34631"/>
    <cellStyle name="Suma 2 8 10 2" xfId="34632"/>
    <cellStyle name="Suma 2 8 10 3" xfId="34633"/>
    <cellStyle name="Suma 2 8 10 4" xfId="34634"/>
    <cellStyle name="Suma 2 8 11" xfId="34635"/>
    <cellStyle name="Suma 2 8 11 2" xfId="34636"/>
    <cellStyle name="Suma 2 8 11 3" xfId="34637"/>
    <cellStyle name="Suma 2 8 11 4" xfId="34638"/>
    <cellStyle name="Suma 2 8 12" xfId="34639"/>
    <cellStyle name="Suma 2 8 12 2" xfId="34640"/>
    <cellStyle name="Suma 2 8 12 3" xfId="34641"/>
    <cellStyle name="Suma 2 8 12 4" xfId="34642"/>
    <cellStyle name="Suma 2 8 13" xfId="34643"/>
    <cellStyle name="Suma 2 8 13 2" xfId="34644"/>
    <cellStyle name="Suma 2 8 13 3" xfId="34645"/>
    <cellStyle name="Suma 2 8 13 4" xfId="34646"/>
    <cellStyle name="Suma 2 8 14" xfId="34647"/>
    <cellStyle name="Suma 2 8 14 2" xfId="34648"/>
    <cellStyle name="Suma 2 8 14 3" xfId="34649"/>
    <cellStyle name="Suma 2 8 14 4" xfId="34650"/>
    <cellStyle name="Suma 2 8 15" xfId="34651"/>
    <cellStyle name="Suma 2 8 15 2" xfId="34652"/>
    <cellStyle name="Suma 2 8 15 3" xfId="34653"/>
    <cellStyle name="Suma 2 8 15 4" xfId="34654"/>
    <cellStyle name="Suma 2 8 16" xfId="34655"/>
    <cellStyle name="Suma 2 8 16 2" xfId="34656"/>
    <cellStyle name="Suma 2 8 16 3" xfId="34657"/>
    <cellStyle name="Suma 2 8 16 4" xfId="34658"/>
    <cellStyle name="Suma 2 8 17" xfId="34659"/>
    <cellStyle name="Suma 2 8 17 2" xfId="34660"/>
    <cellStyle name="Suma 2 8 17 3" xfId="34661"/>
    <cellStyle name="Suma 2 8 17 4" xfId="34662"/>
    <cellStyle name="Suma 2 8 18" xfId="34663"/>
    <cellStyle name="Suma 2 8 18 2" xfId="34664"/>
    <cellStyle name="Suma 2 8 18 3" xfId="34665"/>
    <cellStyle name="Suma 2 8 18 4" xfId="34666"/>
    <cellStyle name="Suma 2 8 19" xfId="34667"/>
    <cellStyle name="Suma 2 8 19 2" xfId="34668"/>
    <cellStyle name="Suma 2 8 19 3" xfId="34669"/>
    <cellStyle name="Suma 2 8 19 4" xfId="34670"/>
    <cellStyle name="Suma 2 8 2" xfId="34671"/>
    <cellStyle name="Suma 2 8 2 2" xfId="34672"/>
    <cellStyle name="Suma 2 8 2 3" xfId="34673"/>
    <cellStyle name="Suma 2 8 2 4" xfId="34674"/>
    <cellStyle name="Suma 2 8 20" xfId="34675"/>
    <cellStyle name="Suma 2 8 20 2" xfId="34676"/>
    <cellStyle name="Suma 2 8 20 3" xfId="34677"/>
    <cellStyle name="Suma 2 8 20 4" xfId="34678"/>
    <cellStyle name="Suma 2 8 21" xfId="34679"/>
    <cellStyle name="Suma 2 8 21 2" xfId="34680"/>
    <cellStyle name="Suma 2 8 21 3" xfId="34681"/>
    <cellStyle name="Suma 2 8 22" xfId="34682"/>
    <cellStyle name="Suma 2 8 22 2" xfId="34683"/>
    <cellStyle name="Suma 2 8 22 3" xfId="34684"/>
    <cellStyle name="Suma 2 8 23" xfId="34685"/>
    <cellStyle name="Suma 2 8 23 2" xfId="34686"/>
    <cellStyle name="Suma 2 8 23 3" xfId="34687"/>
    <cellStyle name="Suma 2 8 24" xfId="34688"/>
    <cellStyle name="Suma 2 8 24 2" xfId="34689"/>
    <cellStyle name="Suma 2 8 24 3" xfId="34690"/>
    <cellStyle name="Suma 2 8 25" xfId="34691"/>
    <cellStyle name="Suma 2 8 25 2" xfId="34692"/>
    <cellStyle name="Suma 2 8 25 3" xfId="34693"/>
    <cellStyle name="Suma 2 8 26" xfId="34694"/>
    <cellStyle name="Suma 2 8 26 2" xfId="34695"/>
    <cellStyle name="Suma 2 8 26 3" xfId="34696"/>
    <cellStyle name="Suma 2 8 27" xfId="34697"/>
    <cellStyle name="Suma 2 8 27 2" xfId="34698"/>
    <cellStyle name="Suma 2 8 27 3" xfId="34699"/>
    <cellStyle name="Suma 2 8 28" xfId="34700"/>
    <cellStyle name="Suma 2 8 28 2" xfId="34701"/>
    <cellStyle name="Suma 2 8 28 3" xfId="34702"/>
    <cellStyle name="Suma 2 8 29" xfId="34703"/>
    <cellStyle name="Suma 2 8 29 2" xfId="34704"/>
    <cellStyle name="Suma 2 8 29 3" xfId="34705"/>
    <cellStyle name="Suma 2 8 3" xfId="34706"/>
    <cellStyle name="Suma 2 8 3 2" xfId="34707"/>
    <cellStyle name="Suma 2 8 3 3" xfId="34708"/>
    <cellStyle name="Suma 2 8 3 4" xfId="34709"/>
    <cellStyle name="Suma 2 8 30" xfId="34710"/>
    <cellStyle name="Suma 2 8 30 2" xfId="34711"/>
    <cellStyle name="Suma 2 8 30 3" xfId="34712"/>
    <cellStyle name="Suma 2 8 31" xfId="34713"/>
    <cellStyle name="Suma 2 8 31 2" xfId="34714"/>
    <cellStyle name="Suma 2 8 31 3" xfId="34715"/>
    <cellStyle name="Suma 2 8 32" xfId="34716"/>
    <cellStyle name="Suma 2 8 32 2" xfId="34717"/>
    <cellStyle name="Suma 2 8 32 3" xfId="34718"/>
    <cellStyle name="Suma 2 8 33" xfId="34719"/>
    <cellStyle name="Suma 2 8 33 2" xfId="34720"/>
    <cellStyle name="Suma 2 8 33 3" xfId="34721"/>
    <cellStyle name="Suma 2 8 34" xfId="34722"/>
    <cellStyle name="Suma 2 8 34 2" xfId="34723"/>
    <cellStyle name="Suma 2 8 34 3" xfId="34724"/>
    <cellStyle name="Suma 2 8 35" xfId="34725"/>
    <cellStyle name="Suma 2 8 35 2" xfId="34726"/>
    <cellStyle name="Suma 2 8 35 3" xfId="34727"/>
    <cellStyle name="Suma 2 8 36" xfId="34728"/>
    <cellStyle name="Suma 2 8 36 2" xfId="34729"/>
    <cellStyle name="Suma 2 8 36 3" xfId="34730"/>
    <cellStyle name="Suma 2 8 37" xfId="34731"/>
    <cellStyle name="Suma 2 8 37 2" xfId="34732"/>
    <cellStyle name="Suma 2 8 37 3" xfId="34733"/>
    <cellStyle name="Suma 2 8 38" xfId="34734"/>
    <cellStyle name="Suma 2 8 38 2" xfId="34735"/>
    <cellStyle name="Suma 2 8 38 3" xfId="34736"/>
    <cellStyle name="Suma 2 8 39" xfId="34737"/>
    <cellStyle name="Suma 2 8 39 2" xfId="34738"/>
    <cellStyle name="Suma 2 8 39 3" xfId="34739"/>
    <cellStyle name="Suma 2 8 4" xfId="34740"/>
    <cellStyle name="Suma 2 8 4 2" xfId="34741"/>
    <cellStyle name="Suma 2 8 4 3" xfId="34742"/>
    <cellStyle name="Suma 2 8 4 4" xfId="34743"/>
    <cellStyle name="Suma 2 8 40" xfId="34744"/>
    <cellStyle name="Suma 2 8 40 2" xfId="34745"/>
    <cellStyle name="Suma 2 8 40 3" xfId="34746"/>
    <cellStyle name="Suma 2 8 41" xfId="34747"/>
    <cellStyle name="Suma 2 8 41 2" xfId="34748"/>
    <cellStyle name="Suma 2 8 41 3" xfId="34749"/>
    <cellStyle name="Suma 2 8 42" xfId="34750"/>
    <cellStyle name="Suma 2 8 42 2" xfId="34751"/>
    <cellStyle name="Suma 2 8 42 3" xfId="34752"/>
    <cellStyle name="Suma 2 8 43" xfId="34753"/>
    <cellStyle name="Suma 2 8 43 2" xfId="34754"/>
    <cellStyle name="Suma 2 8 43 3" xfId="34755"/>
    <cellStyle name="Suma 2 8 44" xfId="34756"/>
    <cellStyle name="Suma 2 8 44 2" xfId="34757"/>
    <cellStyle name="Suma 2 8 44 3" xfId="34758"/>
    <cellStyle name="Suma 2 8 45" xfId="34759"/>
    <cellStyle name="Suma 2 8 45 2" xfId="34760"/>
    <cellStyle name="Suma 2 8 45 3" xfId="34761"/>
    <cellStyle name="Suma 2 8 46" xfId="34762"/>
    <cellStyle name="Suma 2 8 46 2" xfId="34763"/>
    <cellStyle name="Suma 2 8 46 3" xfId="34764"/>
    <cellStyle name="Suma 2 8 47" xfId="34765"/>
    <cellStyle name="Suma 2 8 47 2" xfId="34766"/>
    <cellStyle name="Suma 2 8 47 3" xfId="34767"/>
    <cellStyle name="Suma 2 8 48" xfId="34768"/>
    <cellStyle name="Suma 2 8 48 2" xfId="34769"/>
    <cellStyle name="Suma 2 8 48 3" xfId="34770"/>
    <cellStyle name="Suma 2 8 49" xfId="34771"/>
    <cellStyle name="Suma 2 8 49 2" xfId="34772"/>
    <cellStyle name="Suma 2 8 49 3" xfId="34773"/>
    <cellStyle name="Suma 2 8 5" xfId="34774"/>
    <cellStyle name="Suma 2 8 5 2" xfId="34775"/>
    <cellStyle name="Suma 2 8 5 3" xfId="34776"/>
    <cellStyle name="Suma 2 8 5 4" xfId="34777"/>
    <cellStyle name="Suma 2 8 50" xfId="34778"/>
    <cellStyle name="Suma 2 8 50 2" xfId="34779"/>
    <cellStyle name="Suma 2 8 50 3" xfId="34780"/>
    <cellStyle name="Suma 2 8 51" xfId="34781"/>
    <cellStyle name="Suma 2 8 51 2" xfId="34782"/>
    <cellStyle name="Suma 2 8 51 3" xfId="34783"/>
    <cellStyle name="Suma 2 8 52" xfId="34784"/>
    <cellStyle name="Suma 2 8 52 2" xfId="34785"/>
    <cellStyle name="Suma 2 8 52 3" xfId="34786"/>
    <cellStyle name="Suma 2 8 53" xfId="34787"/>
    <cellStyle name="Suma 2 8 53 2" xfId="34788"/>
    <cellStyle name="Suma 2 8 53 3" xfId="34789"/>
    <cellStyle name="Suma 2 8 54" xfId="34790"/>
    <cellStyle name="Suma 2 8 54 2" xfId="34791"/>
    <cellStyle name="Suma 2 8 54 3" xfId="34792"/>
    <cellStyle name="Suma 2 8 55" xfId="34793"/>
    <cellStyle name="Suma 2 8 55 2" xfId="34794"/>
    <cellStyle name="Suma 2 8 55 3" xfId="34795"/>
    <cellStyle name="Suma 2 8 56" xfId="34796"/>
    <cellStyle name="Suma 2 8 56 2" xfId="34797"/>
    <cellStyle name="Suma 2 8 56 3" xfId="34798"/>
    <cellStyle name="Suma 2 8 57" xfId="34799"/>
    <cellStyle name="Suma 2 8 58" xfId="34800"/>
    <cellStyle name="Suma 2 8 6" xfId="34801"/>
    <cellStyle name="Suma 2 8 6 2" xfId="34802"/>
    <cellStyle name="Suma 2 8 6 3" xfId="34803"/>
    <cellStyle name="Suma 2 8 6 4" xfId="34804"/>
    <cellStyle name="Suma 2 8 7" xfId="34805"/>
    <cellStyle name="Suma 2 8 7 2" xfId="34806"/>
    <cellStyle name="Suma 2 8 7 3" xfId="34807"/>
    <cellStyle name="Suma 2 8 7 4" xfId="34808"/>
    <cellStyle name="Suma 2 8 8" xfId="34809"/>
    <cellStyle name="Suma 2 8 8 2" xfId="34810"/>
    <cellStyle name="Suma 2 8 8 3" xfId="34811"/>
    <cellStyle name="Suma 2 8 8 4" xfId="34812"/>
    <cellStyle name="Suma 2 8 9" xfId="34813"/>
    <cellStyle name="Suma 2 8 9 2" xfId="34814"/>
    <cellStyle name="Suma 2 8 9 3" xfId="34815"/>
    <cellStyle name="Suma 2 8 9 4" xfId="34816"/>
    <cellStyle name="Suma 2 80" xfId="34817"/>
    <cellStyle name="Suma 2 80 2" xfId="34818"/>
    <cellStyle name="Suma 2 80 3" xfId="34819"/>
    <cellStyle name="Suma 2 81" xfId="34820"/>
    <cellStyle name="Suma 2 81 2" xfId="34821"/>
    <cellStyle name="Suma 2 81 3" xfId="34822"/>
    <cellStyle name="Suma 2 82" xfId="34823"/>
    <cellStyle name="Suma 2 82 2" xfId="34824"/>
    <cellStyle name="Suma 2 82 3" xfId="34825"/>
    <cellStyle name="Suma 2 83" xfId="34826"/>
    <cellStyle name="Suma 2 83 2" xfId="34827"/>
    <cellStyle name="Suma 2 83 3" xfId="34828"/>
    <cellStyle name="Suma 2 84" xfId="34829"/>
    <cellStyle name="Suma 2 84 2" xfId="34830"/>
    <cellStyle name="Suma 2 84 3" xfId="34831"/>
    <cellStyle name="Suma 2 85" xfId="34832"/>
    <cellStyle name="Suma 2 85 2" xfId="34833"/>
    <cellStyle name="Suma 2 85 3" xfId="34834"/>
    <cellStyle name="Suma 2 86" xfId="34835"/>
    <cellStyle name="Suma 2 86 2" xfId="34836"/>
    <cellStyle name="Suma 2 86 3" xfId="34837"/>
    <cellStyle name="Suma 2 87" xfId="34838"/>
    <cellStyle name="Suma 2 87 2" xfId="34839"/>
    <cellStyle name="Suma 2 87 3" xfId="34840"/>
    <cellStyle name="Suma 2 88" xfId="34841"/>
    <cellStyle name="Suma 2 89" xfId="34842"/>
    <cellStyle name="Suma 2 9" xfId="34843"/>
    <cellStyle name="Suma 2 9 10" xfId="34844"/>
    <cellStyle name="Suma 2 9 10 2" xfId="34845"/>
    <cellStyle name="Suma 2 9 10 3" xfId="34846"/>
    <cellStyle name="Suma 2 9 10 4" xfId="34847"/>
    <cellStyle name="Suma 2 9 11" xfId="34848"/>
    <cellStyle name="Suma 2 9 11 2" xfId="34849"/>
    <cellStyle name="Suma 2 9 11 3" xfId="34850"/>
    <cellStyle name="Suma 2 9 11 4" xfId="34851"/>
    <cellStyle name="Suma 2 9 12" xfId="34852"/>
    <cellStyle name="Suma 2 9 12 2" xfId="34853"/>
    <cellStyle name="Suma 2 9 12 3" xfId="34854"/>
    <cellStyle name="Suma 2 9 12 4" xfId="34855"/>
    <cellStyle name="Suma 2 9 13" xfId="34856"/>
    <cellStyle name="Suma 2 9 13 2" xfId="34857"/>
    <cellStyle name="Suma 2 9 13 3" xfId="34858"/>
    <cellStyle name="Suma 2 9 13 4" xfId="34859"/>
    <cellStyle name="Suma 2 9 14" xfId="34860"/>
    <cellStyle name="Suma 2 9 14 2" xfId="34861"/>
    <cellStyle name="Suma 2 9 14 3" xfId="34862"/>
    <cellStyle name="Suma 2 9 14 4" xfId="34863"/>
    <cellStyle name="Suma 2 9 15" xfId="34864"/>
    <cellStyle name="Suma 2 9 15 2" xfId="34865"/>
    <cellStyle name="Suma 2 9 15 3" xfId="34866"/>
    <cellStyle name="Suma 2 9 15 4" xfId="34867"/>
    <cellStyle name="Suma 2 9 16" xfId="34868"/>
    <cellStyle name="Suma 2 9 16 2" xfId="34869"/>
    <cellStyle name="Suma 2 9 16 3" xfId="34870"/>
    <cellStyle name="Suma 2 9 16 4" xfId="34871"/>
    <cellStyle name="Suma 2 9 17" xfId="34872"/>
    <cellStyle name="Suma 2 9 17 2" xfId="34873"/>
    <cellStyle name="Suma 2 9 17 3" xfId="34874"/>
    <cellStyle name="Suma 2 9 17 4" xfId="34875"/>
    <cellStyle name="Suma 2 9 18" xfId="34876"/>
    <cellStyle name="Suma 2 9 18 2" xfId="34877"/>
    <cellStyle name="Suma 2 9 18 3" xfId="34878"/>
    <cellStyle name="Suma 2 9 18 4" xfId="34879"/>
    <cellStyle name="Suma 2 9 19" xfId="34880"/>
    <cellStyle name="Suma 2 9 19 2" xfId="34881"/>
    <cellStyle name="Suma 2 9 19 3" xfId="34882"/>
    <cellStyle name="Suma 2 9 19 4" xfId="34883"/>
    <cellStyle name="Suma 2 9 2" xfId="34884"/>
    <cellStyle name="Suma 2 9 2 2" xfId="34885"/>
    <cellStyle name="Suma 2 9 2 3" xfId="34886"/>
    <cellStyle name="Suma 2 9 2 4" xfId="34887"/>
    <cellStyle name="Suma 2 9 20" xfId="34888"/>
    <cellStyle name="Suma 2 9 20 2" xfId="34889"/>
    <cellStyle name="Suma 2 9 20 3" xfId="34890"/>
    <cellStyle name="Suma 2 9 20 4" xfId="34891"/>
    <cellStyle name="Suma 2 9 21" xfId="34892"/>
    <cellStyle name="Suma 2 9 21 2" xfId="34893"/>
    <cellStyle name="Suma 2 9 21 3" xfId="34894"/>
    <cellStyle name="Suma 2 9 22" xfId="34895"/>
    <cellStyle name="Suma 2 9 22 2" xfId="34896"/>
    <cellStyle name="Suma 2 9 22 3" xfId="34897"/>
    <cellStyle name="Suma 2 9 23" xfId="34898"/>
    <cellStyle name="Suma 2 9 23 2" xfId="34899"/>
    <cellStyle name="Suma 2 9 23 3" xfId="34900"/>
    <cellStyle name="Suma 2 9 24" xfId="34901"/>
    <cellStyle name="Suma 2 9 24 2" xfId="34902"/>
    <cellStyle name="Suma 2 9 24 3" xfId="34903"/>
    <cellStyle name="Suma 2 9 25" xfId="34904"/>
    <cellStyle name="Suma 2 9 25 2" xfId="34905"/>
    <cellStyle name="Suma 2 9 25 3" xfId="34906"/>
    <cellStyle name="Suma 2 9 26" xfId="34907"/>
    <cellStyle name="Suma 2 9 26 2" xfId="34908"/>
    <cellStyle name="Suma 2 9 26 3" xfId="34909"/>
    <cellStyle name="Suma 2 9 27" xfId="34910"/>
    <cellStyle name="Suma 2 9 27 2" xfId="34911"/>
    <cellStyle name="Suma 2 9 27 3" xfId="34912"/>
    <cellStyle name="Suma 2 9 28" xfId="34913"/>
    <cellStyle name="Suma 2 9 28 2" xfId="34914"/>
    <cellStyle name="Suma 2 9 28 3" xfId="34915"/>
    <cellStyle name="Suma 2 9 29" xfId="34916"/>
    <cellStyle name="Suma 2 9 29 2" xfId="34917"/>
    <cellStyle name="Suma 2 9 29 3" xfId="34918"/>
    <cellStyle name="Suma 2 9 3" xfId="34919"/>
    <cellStyle name="Suma 2 9 3 2" xfId="34920"/>
    <cellStyle name="Suma 2 9 3 3" xfId="34921"/>
    <cellStyle name="Suma 2 9 3 4" xfId="34922"/>
    <cellStyle name="Suma 2 9 30" xfId="34923"/>
    <cellStyle name="Suma 2 9 30 2" xfId="34924"/>
    <cellStyle name="Suma 2 9 30 3" xfId="34925"/>
    <cellStyle name="Suma 2 9 31" xfId="34926"/>
    <cellStyle name="Suma 2 9 31 2" xfId="34927"/>
    <cellStyle name="Suma 2 9 31 3" xfId="34928"/>
    <cellStyle name="Suma 2 9 32" xfId="34929"/>
    <cellStyle name="Suma 2 9 32 2" xfId="34930"/>
    <cellStyle name="Suma 2 9 32 3" xfId="34931"/>
    <cellStyle name="Suma 2 9 33" xfId="34932"/>
    <cellStyle name="Suma 2 9 33 2" xfId="34933"/>
    <cellStyle name="Suma 2 9 33 3" xfId="34934"/>
    <cellStyle name="Suma 2 9 34" xfId="34935"/>
    <cellStyle name="Suma 2 9 34 2" xfId="34936"/>
    <cellStyle name="Suma 2 9 34 3" xfId="34937"/>
    <cellStyle name="Suma 2 9 35" xfId="34938"/>
    <cellStyle name="Suma 2 9 35 2" xfId="34939"/>
    <cellStyle name="Suma 2 9 35 3" xfId="34940"/>
    <cellStyle name="Suma 2 9 36" xfId="34941"/>
    <cellStyle name="Suma 2 9 36 2" xfId="34942"/>
    <cellStyle name="Suma 2 9 36 3" xfId="34943"/>
    <cellStyle name="Suma 2 9 37" xfId="34944"/>
    <cellStyle name="Suma 2 9 37 2" xfId="34945"/>
    <cellStyle name="Suma 2 9 37 3" xfId="34946"/>
    <cellStyle name="Suma 2 9 38" xfId="34947"/>
    <cellStyle name="Suma 2 9 38 2" xfId="34948"/>
    <cellStyle name="Suma 2 9 38 3" xfId="34949"/>
    <cellStyle name="Suma 2 9 39" xfId="34950"/>
    <cellStyle name="Suma 2 9 39 2" xfId="34951"/>
    <cellStyle name="Suma 2 9 39 3" xfId="34952"/>
    <cellStyle name="Suma 2 9 4" xfId="34953"/>
    <cellStyle name="Suma 2 9 4 2" xfId="34954"/>
    <cellStyle name="Suma 2 9 4 3" xfId="34955"/>
    <cellStyle name="Suma 2 9 4 4" xfId="34956"/>
    <cellStyle name="Suma 2 9 40" xfId="34957"/>
    <cellStyle name="Suma 2 9 40 2" xfId="34958"/>
    <cellStyle name="Suma 2 9 40 3" xfId="34959"/>
    <cellStyle name="Suma 2 9 41" xfId="34960"/>
    <cellStyle name="Suma 2 9 41 2" xfId="34961"/>
    <cellStyle name="Suma 2 9 41 3" xfId="34962"/>
    <cellStyle name="Suma 2 9 42" xfId="34963"/>
    <cellStyle name="Suma 2 9 42 2" xfId="34964"/>
    <cellStyle name="Suma 2 9 42 3" xfId="34965"/>
    <cellStyle name="Suma 2 9 43" xfId="34966"/>
    <cellStyle name="Suma 2 9 43 2" xfId="34967"/>
    <cellStyle name="Suma 2 9 43 3" xfId="34968"/>
    <cellStyle name="Suma 2 9 44" xfId="34969"/>
    <cellStyle name="Suma 2 9 44 2" xfId="34970"/>
    <cellStyle name="Suma 2 9 44 3" xfId="34971"/>
    <cellStyle name="Suma 2 9 45" xfId="34972"/>
    <cellStyle name="Suma 2 9 45 2" xfId="34973"/>
    <cellStyle name="Suma 2 9 45 3" xfId="34974"/>
    <cellStyle name="Suma 2 9 46" xfId="34975"/>
    <cellStyle name="Suma 2 9 46 2" xfId="34976"/>
    <cellStyle name="Suma 2 9 46 3" xfId="34977"/>
    <cellStyle name="Suma 2 9 47" xfId="34978"/>
    <cellStyle name="Suma 2 9 47 2" xfId="34979"/>
    <cellStyle name="Suma 2 9 47 3" xfId="34980"/>
    <cellStyle name="Suma 2 9 48" xfId="34981"/>
    <cellStyle name="Suma 2 9 48 2" xfId="34982"/>
    <cellStyle name="Suma 2 9 48 3" xfId="34983"/>
    <cellStyle name="Suma 2 9 49" xfId="34984"/>
    <cellStyle name="Suma 2 9 49 2" xfId="34985"/>
    <cellStyle name="Suma 2 9 49 3" xfId="34986"/>
    <cellStyle name="Suma 2 9 5" xfId="34987"/>
    <cellStyle name="Suma 2 9 5 2" xfId="34988"/>
    <cellStyle name="Suma 2 9 5 3" xfId="34989"/>
    <cellStyle name="Suma 2 9 5 4" xfId="34990"/>
    <cellStyle name="Suma 2 9 50" xfId="34991"/>
    <cellStyle name="Suma 2 9 50 2" xfId="34992"/>
    <cellStyle name="Suma 2 9 50 3" xfId="34993"/>
    <cellStyle name="Suma 2 9 51" xfId="34994"/>
    <cellStyle name="Suma 2 9 51 2" xfId="34995"/>
    <cellStyle name="Suma 2 9 51 3" xfId="34996"/>
    <cellStyle name="Suma 2 9 52" xfId="34997"/>
    <cellStyle name="Suma 2 9 52 2" xfId="34998"/>
    <cellStyle name="Suma 2 9 52 3" xfId="34999"/>
    <cellStyle name="Suma 2 9 53" xfId="35000"/>
    <cellStyle name="Suma 2 9 53 2" xfId="35001"/>
    <cellStyle name="Suma 2 9 53 3" xfId="35002"/>
    <cellStyle name="Suma 2 9 54" xfId="35003"/>
    <cellStyle name="Suma 2 9 54 2" xfId="35004"/>
    <cellStyle name="Suma 2 9 54 3" xfId="35005"/>
    <cellStyle name="Suma 2 9 55" xfId="35006"/>
    <cellStyle name="Suma 2 9 55 2" xfId="35007"/>
    <cellStyle name="Suma 2 9 55 3" xfId="35008"/>
    <cellStyle name="Suma 2 9 56" xfId="35009"/>
    <cellStyle name="Suma 2 9 56 2" xfId="35010"/>
    <cellStyle name="Suma 2 9 56 3" xfId="35011"/>
    <cellStyle name="Suma 2 9 57" xfId="35012"/>
    <cellStyle name="Suma 2 9 58" xfId="35013"/>
    <cellStyle name="Suma 2 9 6" xfId="35014"/>
    <cellStyle name="Suma 2 9 6 2" xfId="35015"/>
    <cellStyle name="Suma 2 9 6 3" xfId="35016"/>
    <cellStyle name="Suma 2 9 6 4" xfId="35017"/>
    <cellStyle name="Suma 2 9 7" xfId="35018"/>
    <cellStyle name="Suma 2 9 7 2" xfId="35019"/>
    <cellStyle name="Suma 2 9 7 3" xfId="35020"/>
    <cellStyle name="Suma 2 9 7 4" xfId="35021"/>
    <cellStyle name="Suma 2 9 8" xfId="35022"/>
    <cellStyle name="Suma 2 9 8 2" xfId="35023"/>
    <cellStyle name="Suma 2 9 8 3" xfId="35024"/>
    <cellStyle name="Suma 2 9 8 4" xfId="35025"/>
    <cellStyle name="Suma 2 9 9" xfId="35026"/>
    <cellStyle name="Suma 2 9 9 2" xfId="35027"/>
    <cellStyle name="Suma 2 9 9 3" xfId="35028"/>
    <cellStyle name="Suma 2 9 9 4" xfId="35029"/>
    <cellStyle name="Suma 3" xfId="35030"/>
    <cellStyle name="Suma 3 2" xfId="35031"/>
    <cellStyle name="Suma 3 2 2" xfId="35032"/>
    <cellStyle name="Suma 3 3" xfId="35033"/>
    <cellStyle name="Suma 3 4" xfId="35034"/>
    <cellStyle name="Suma 3 5" xfId="35035"/>
    <cellStyle name="Suma 3 6" xfId="35036"/>
    <cellStyle name="Suma 3 7" xfId="35037"/>
    <cellStyle name="Suma 3 8" xfId="35038"/>
    <cellStyle name="Suma 3 9" xfId="35039"/>
    <cellStyle name="Suma 4" xfId="35040"/>
    <cellStyle name="Suma 4 2" xfId="35041"/>
    <cellStyle name="Suma 4 3" xfId="35042"/>
    <cellStyle name="Suma 4 4" xfId="35043"/>
    <cellStyle name="Suma 4 5" xfId="35044"/>
    <cellStyle name="Suma 4 6" xfId="35045"/>
    <cellStyle name="Suma 4 7" xfId="35046"/>
    <cellStyle name="Suma 4 8" xfId="35047"/>
    <cellStyle name="Suma 4 9" xfId="35048"/>
    <cellStyle name="Suma 5" xfId="35049"/>
    <cellStyle name="Suma 5 2" xfId="35050"/>
    <cellStyle name="Suma 5 3" xfId="35051"/>
    <cellStyle name="Suma 6" xfId="35052"/>
    <cellStyle name="Suma 6 2" xfId="35053"/>
    <cellStyle name="Suma 7" xfId="35054"/>
    <cellStyle name="Tekst objaśnienia 2" xfId="35055"/>
    <cellStyle name="Tekst objaśnienia 2 10" xfId="35056"/>
    <cellStyle name="Tekst objaśnienia 2 10 2" xfId="35057"/>
    <cellStyle name="Tekst objaśnienia 2 10 3" xfId="35058"/>
    <cellStyle name="Tekst objaśnienia 2 10 4" xfId="35059"/>
    <cellStyle name="Tekst objaśnienia 2 10 5" xfId="35060"/>
    <cellStyle name="Tekst objaśnienia 2 10 6" xfId="35061"/>
    <cellStyle name="Tekst objaśnienia 2 10 7" xfId="35062"/>
    <cellStyle name="Tekst objaśnienia 2 11" xfId="35063"/>
    <cellStyle name="Tekst objaśnienia 2 11 2" xfId="35064"/>
    <cellStyle name="Tekst objaśnienia 2 11 3" xfId="35065"/>
    <cellStyle name="Tekst objaśnienia 2 11 4" xfId="35066"/>
    <cellStyle name="Tekst objaśnienia 2 11 5" xfId="35067"/>
    <cellStyle name="Tekst objaśnienia 2 11 6" xfId="35068"/>
    <cellStyle name="Tekst objaśnienia 2 11 7" xfId="35069"/>
    <cellStyle name="Tekst objaśnienia 2 12" xfId="35070"/>
    <cellStyle name="Tekst objaśnienia 2 12 2" xfId="35071"/>
    <cellStyle name="Tekst objaśnienia 2 12 3" xfId="35072"/>
    <cellStyle name="Tekst objaśnienia 2 12 4" xfId="35073"/>
    <cellStyle name="Tekst objaśnienia 2 12 5" xfId="35074"/>
    <cellStyle name="Tekst objaśnienia 2 12 6" xfId="35075"/>
    <cellStyle name="Tekst objaśnienia 2 12 7" xfId="35076"/>
    <cellStyle name="Tekst objaśnienia 2 13" xfId="35077"/>
    <cellStyle name="Tekst objaśnienia 2 13 2" xfId="35078"/>
    <cellStyle name="Tekst objaśnienia 2 13 3" xfId="35079"/>
    <cellStyle name="Tekst objaśnienia 2 13 4" xfId="35080"/>
    <cellStyle name="Tekst objaśnienia 2 13 5" xfId="35081"/>
    <cellStyle name="Tekst objaśnienia 2 13 6" xfId="35082"/>
    <cellStyle name="Tekst objaśnienia 2 13 7" xfId="35083"/>
    <cellStyle name="Tekst objaśnienia 2 14" xfId="35084"/>
    <cellStyle name="Tekst objaśnienia 2 14 2" xfId="35085"/>
    <cellStyle name="Tekst objaśnienia 2 14 3" xfId="35086"/>
    <cellStyle name="Tekst objaśnienia 2 14 4" xfId="35087"/>
    <cellStyle name="Tekst objaśnienia 2 14 5" xfId="35088"/>
    <cellStyle name="Tekst objaśnienia 2 14 6" xfId="35089"/>
    <cellStyle name="Tekst objaśnienia 2 14 7" xfId="35090"/>
    <cellStyle name="Tekst objaśnienia 2 15" xfId="35091"/>
    <cellStyle name="Tekst objaśnienia 2 15 2" xfId="35092"/>
    <cellStyle name="Tekst objaśnienia 2 15 3" xfId="35093"/>
    <cellStyle name="Tekst objaśnienia 2 15 4" xfId="35094"/>
    <cellStyle name="Tekst objaśnienia 2 15 5" xfId="35095"/>
    <cellStyle name="Tekst objaśnienia 2 15 6" xfId="35096"/>
    <cellStyle name="Tekst objaśnienia 2 15 7" xfId="35097"/>
    <cellStyle name="Tekst objaśnienia 2 16" xfId="35098"/>
    <cellStyle name="Tekst objaśnienia 2 16 2" xfId="35099"/>
    <cellStyle name="Tekst objaśnienia 2 16 3" xfId="35100"/>
    <cellStyle name="Tekst objaśnienia 2 16 4" xfId="35101"/>
    <cellStyle name="Tekst objaśnienia 2 16 5" xfId="35102"/>
    <cellStyle name="Tekst objaśnienia 2 16 6" xfId="35103"/>
    <cellStyle name="Tekst objaśnienia 2 16 7" xfId="35104"/>
    <cellStyle name="Tekst objaśnienia 2 17" xfId="35105"/>
    <cellStyle name="Tekst objaśnienia 2 17 2" xfId="35106"/>
    <cellStyle name="Tekst objaśnienia 2 17 3" xfId="35107"/>
    <cellStyle name="Tekst objaśnienia 2 17 4" xfId="35108"/>
    <cellStyle name="Tekst objaśnienia 2 17 5" xfId="35109"/>
    <cellStyle name="Tekst objaśnienia 2 17 6" xfId="35110"/>
    <cellStyle name="Tekst objaśnienia 2 17 7" xfId="35111"/>
    <cellStyle name="Tekst objaśnienia 2 18" xfId="35112"/>
    <cellStyle name="Tekst objaśnienia 2 18 2" xfId="35113"/>
    <cellStyle name="Tekst objaśnienia 2 18 3" xfId="35114"/>
    <cellStyle name="Tekst objaśnienia 2 18 4" xfId="35115"/>
    <cellStyle name="Tekst objaśnienia 2 18 5" xfId="35116"/>
    <cellStyle name="Tekst objaśnienia 2 18 6" xfId="35117"/>
    <cellStyle name="Tekst objaśnienia 2 18 7" xfId="35118"/>
    <cellStyle name="Tekst objaśnienia 2 19" xfId="35119"/>
    <cellStyle name="Tekst objaśnienia 2 19 2" xfId="35120"/>
    <cellStyle name="Tekst objaśnienia 2 19 3" xfId="35121"/>
    <cellStyle name="Tekst objaśnienia 2 19 4" xfId="35122"/>
    <cellStyle name="Tekst objaśnienia 2 19 5" xfId="35123"/>
    <cellStyle name="Tekst objaśnienia 2 19 6" xfId="35124"/>
    <cellStyle name="Tekst objaśnienia 2 19 7" xfId="35125"/>
    <cellStyle name="Tekst objaśnienia 2 2" xfId="35126"/>
    <cellStyle name="Tekst objaśnienia 2 2 2" xfId="35127"/>
    <cellStyle name="Tekst objaśnienia 2 2 3" xfId="35128"/>
    <cellStyle name="Tekst objaśnienia 2 2 4" xfId="35129"/>
    <cellStyle name="Tekst objaśnienia 2 2 5" xfId="35130"/>
    <cellStyle name="Tekst objaśnienia 2 2 6" xfId="35131"/>
    <cellStyle name="Tekst objaśnienia 2 2 7" xfId="35132"/>
    <cellStyle name="Tekst objaśnienia 2 2 8" xfId="35133"/>
    <cellStyle name="Tekst objaśnienia 2 20" xfId="35134"/>
    <cellStyle name="Tekst objaśnienia 2 20 2" xfId="35135"/>
    <cellStyle name="Tekst objaśnienia 2 20 3" xfId="35136"/>
    <cellStyle name="Tekst objaśnienia 2 20 4" xfId="35137"/>
    <cellStyle name="Tekst objaśnienia 2 20 5" xfId="35138"/>
    <cellStyle name="Tekst objaśnienia 2 20 6" xfId="35139"/>
    <cellStyle name="Tekst objaśnienia 2 20 7" xfId="35140"/>
    <cellStyle name="Tekst objaśnienia 2 21" xfId="35141"/>
    <cellStyle name="Tekst objaśnienia 2 21 2" xfId="35142"/>
    <cellStyle name="Tekst objaśnienia 2 21 3" xfId="35143"/>
    <cellStyle name="Tekst objaśnienia 2 21 4" xfId="35144"/>
    <cellStyle name="Tekst objaśnienia 2 21 5" xfId="35145"/>
    <cellStyle name="Tekst objaśnienia 2 21 6" xfId="35146"/>
    <cellStyle name="Tekst objaśnienia 2 21 7" xfId="35147"/>
    <cellStyle name="Tekst objaśnienia 2 22" xfId="35148"/>
    <cellStyle name="Tekst objaśnienia 2 22 2" xfId="35149"/>
    <cellStyle name="Tekst objaśnienia 2 22 3" xfId="35150"/>
    <cellStyle name="Tekst objaśnienia 2 22 4" xfId="35151"/>
    <cellStyle name="Tekst objaśnienia 2 22 5" xfId="35152"/>
    <cellStyle name="Tekst objaśnienia 2 22 6" xfId="35153"/>
    <cellStyle name="Tekst objaśnienia 2 22 7" xfId="35154"/>
    <cellStyle name="Tekst objaśnienia 2 23" xfId="35155"/>
    <cellStyle name="Tekst objaśnienia 2 23 2" xfId="35156"/>
    <cellStyle name="Tekst objaśnienia 2 23 3" xfId="35157"/>
    <cellStyle name="Tekst objaśnienia 2 23 4" xfId="35158"/>
    <cellStyle name="Tekst objaśnienia 2 23 5" xfId="35159"/>
    <cellStyle name="Tekst objaśnienia 2 23 6" xfId="35160"/>
    <cellStyle name="Tekst objaśnienia 2 23 7" xfId="35161"/>
    <cellStyle name="Tekst objaśnienia 2 24" xfId="35162"/>
    <cellStyle name="Tekst objaśnienia 2 24 2" xfId="35163"/>
    <cellStyle name="Tekst objaśnienia 2 24 3" xfId="35164"/>
    <cellStyle name="Tekst objaśnienia 2 24 4" xfId="35165"/>
    <cellStyle name="Tekst objaśnienia 2 24 5" xfId="35166"/>
    <cellStyle name="Tekst objaśnienia 2 24 6" xfId="35167"/>
    <cellStyle name="Tekst objaśnienia 2 24 7" xfId="35168"/>
    <cellStyle name="Tekst objaśnienia 2 25" xfId="35169"/>
    <cellStyle name="Tekst objaśnienia 2 25 2" xfId="35170"/>
    <cellStyle name="Tekst objaśnienia 2 25 3" xfId="35171"/>
    <cellStyle name="Tekst objaśnienia 2 25 4" xfId="35172"/>
    <cellStyle name="Tekst objaśnienia 2 25 5" xfId="35173"/>
    <cellStyle name="Tekst objaśnienia 2 25 6" xfId="35174"/>
    <cellStyle name="Tekst objaśnienia 2 25 7" xfId="35175"/>
    <cellStyle name="Tekst objaśnienia 2 26" xfId="35176"/>
    <cellStyle name="Tekst objaśnienia 2 26 2" xfId="35177"/>
    <cellStyle name="Tekst objaśnienia 2 26 3" xfId="35178"/>
    <cellStyle name="Tekst objaśnienia 2 26 4" xfId="35179"/>
    <cellStyle name="Tekst objaśnienia 2 26 5" xfId="35180"/>
    <cellStyle name="Tekst objaśnienia 2 26 6" xfId="35181"/>
    <cellStyle name="Tekst objaśnienia 2 26 7" xfId="35182"/>
    <cellStyle name="Tekst objaśnienia 2 27" xfId="35183"/>
    <cellStyle name="Tekst objaśnienia 2 27 2" xfId="35184"/>
    <cellStyle name="Tekst objaśnienia 2 27 3" xfId="35185"/>
    <cellStyle name="Tekst objaśnienia 2 27 4" xfId="35186"/>
    <cellStyle name="Tekst objaśnienia 2 27 5" xfId="35187"/>
    <cellStyle name="Tekst objaśnienia 2 27 6" xfId="35188"/>
    <cellStyle name="Tekst objaśnienia 2 27 7" xfId="35189"/>
    <cellStyle name="Tekst objaśnienia 2 28" xfId="35190"/>
    <cellStyle name="Tekst objaśnienia 2 28 2" xfId="35191"/>
    <cellStyle name="Tekst objaśnienia 2 28 3" xfId="35192"/>
    <cellStyle name="Tekst objaśnienia 2 28 4" xfId="35193"/>
    <cellStyle name="Tekst objaśnienia 2 28 5" xfId="35194"/>
    <cellStyle name="Tekst objaśnienia 2 28 6" xfId="35195"/>
    <cellStyle name="Tekst objaśnienia 2 28 7" xfId="35196"/>
    <cellStyle name="Tekst objaśnienia 2 29" xfId="35197"/>
    <cellStyle name="Tekst objaśnienia 2 29 2" xfId="35198"/>
    <cellStyle name="Tekst objaśnienia 2 3" xfId="35199"/>
    <cellStyle name="Tekst objaśnienia 2 3 2" xfId="35200"/>
    <cellStyle name="Tekst objaśnienia 2 3 3" xfId="35201"/>
    <cellStyle name="Tekst objaśnienia 2 3 4" xfId="35202"/>
    <cellStyle name="Tekst objaśnienia 2 3 5" xfId="35203"/>
    <cellStyle name="Tekst objaśnienia 2 3 6" xfId="35204"/>
    <cellStyle name="Tekst objaśnienia 2 3 7" xfId="35205"/>
    <cellStyle name="Tekst objaśnienia 2 30" xfId="35206"/>
    <cellStyle name="Tekst objaśnienia 2 30 2" xfId="35207"/>
    <cellStyle name="Tekst objaśnienia 2 31" xfId="35208"/>
    <cellStyle name="Tekst objaśnienia 2 31 2" xfId="35209"/>
    <cellStyle name="Tekst objaśnienia 2 32" xfId="35210"/>
    <cellStyle name="Tekst objaśnienia 2 32 2" xfId="35211"/>
    <cellStyle name="Tekst objaśnienia 2 33" xfId="35212"/>
    <cellStyle name="Tekst objaśnienia 2 34" xfId="35213"/>
    <cellStyle name="Tekst objaśnienia 2 35" xfId="35214"/>
    <cellStyle name="Tekst objaśnienia 2 36" xfId="35215"/>
    <cellStyle name="Tekst objaśnienia 2 37" xfId="35216"/>
    <cellStyle name="Tekst objaśnienia 2 38" xfId="35217"/>
    <cellStyle name="Tekst objaśnienia 2 39" xfId="35218"/>
    <cellStyle name="Tekst objaśnienia 2 4" xfId="35219"/>
    <cellStyle name="Tekst objaśnienia 2 4 2" xfId="35220"/>
    <cellStyle name="Tekst objaśnienia 2 4 3" xfId="35221"/>
    <cellStyle name="Tekst objaśnienia 2 4 4" xfId="35222"/>
    <cellStyle name="Tekst objaśnienia 2 4 5" xfId="35223"/>
    <cellStyle name="Tekst objaśnienia 2 4 6" xfId="35224"/>
    <cellStyle name="Tekst objaśnienia 2 4 7" xfId="35225"/>
    <cellStyle name="Tekst objaśnienia 2 5" xfId="35226"/>
    <cellStyle name="Tekst objaśnienia 2 5 2" xfId="35227"/>
    <cellStyle name="Tekst objaśnienia 2 5 3" xfId="35228"/>
    <cellStyle name="Tekst objaśnienia 2 5 4" xfId="35229"/>
    <cellStyle name="Tekst objaśnienia 2 5 5" xfId="35230"/>
    <cellStyle name="Tekst objaśnienia 2 5 6" xfId="35231"/>
    <cellStyle name="Tekst objaśnienia 2 5 7" xfId="35232"/>
    <cellStyle name="Tekst objaśnienia 2 6" xfId="35233"/>
    <cellStyle name="Tekst objaśnienia 2 6 2" xfId="35234"/>
    <cellStyle name="Tekst objaśnienia 2 6 3" xfId="35235"/>
    <cellStyle name="Tekst objaśnienia 2 6 4" xfId="35236"/>
    <cellStyle name="Tekst objaśnienia 2 6 5" xfId="35237"/>
    <cellStyle name="Tekst objaśnienia 2 6 6" xfId="35238"/>
    <cellStyle name="Tekst objaśnienia 2 6 7" xfId="35239"/>
    <cellStyle name="Tekst objaśnienia 2 7" xfId="35240"/>
    <cellStyle name="Tekst objaśnienia 2 7 2" xfId="35241"/>
    <cellStyle name="Tekst objaśnienia 2 7 3" xfId="35242"/>
    <cellStyle name="Tekst objaśnienia 2 7 4" xfId="35243"/>
    <cellStyle name="Tekst objaśnienia 2 7 5" xfId="35244"/>
    <cellStyle name="Tekst objaśnienia 2 7 6" xfId="35245"/>
    <cellStyle name="Tekst objaśnienia 2 7 7" xfId="35246"/>
    <cellStyle name="Tekst objaśnienia 2 8" xfId="35247"/>
    <cellStyle name="Tekst objaśnienia 2 8 2" xfId="35248"/>
    <cellStyle name="Tekst objaśnienia 2 8 3" xfId="35249"/>
    <cellStyle name="Tekst objaśnienia 2 8 4" xfId="35250"/>
    <cellStyle name="Tekst objaśnienia 2 8 5" xfId="35251"/>
    <cellStyle name="Tekst objaśnienia 2 8 6" xfId="35252"/>
    <cellStyle name="Tekst objaśnienia 2 8 7" xfId="35253"/>
    <cellStyle name="Tekst objaśnienia 2 9" xfId="35254"/>
    <cellStyle name="Tekst objaśnienia 2 9 2" xfId="35255"/>
    <cellStyle name="Tekst objaśnienia 2 9 3" xfId="35256"/>
    <cellStyle name="Tekst objaśnienia 2 9 4" xfId="35257"/>
    <cellStyle name="Tekst objaśnienia 2 9 5" xfId="35258"/>
    <cellStyle name="Tekst objaśnienia 2 9 6" xfId="35259"/>
    <cellStyle name="Tekst objaśnienia 2 9 7" xfId="35260"/>
    <cellStyle name="Tekst objaśnienia 3" xfId="35261"/>
    <cellStyle name="Tekst objaśnienia 3 2" xfId="35262"/>
    <cellStyle name="Tekst objaśnienia 3 2 2" xfId="35263"/>
    <cellStyle name="Tekst objaśnienia 3 3" xfId="35264"/>
    <cellStyle name="Tekst objaśnienia 3 4" xfId="35265"/>
    <cellStyle name="Tekst objaśnienia 3 5" xfId="35266"/>
    <cellStyle name="Tekst objaśnienia 3 6" xfId="35267"/>
    <cellStyle name="Tekst objaśnienia 3 7" xfId="35268"/>
    <cellStyle name="Tekst objaśnienia 3 8" xfId="35269"/>
    <cellStyle name="Tekst objaśnienia 3 9" xfId="35270"/>
    <cellStyle name="Tekst objaśnienia 4" xfId="35271"/>
    <cellStyle name="Tekst objaśnienia 4 2" xfId="35272"/>
    <cellStyle name="Tekst objaśnienia 4 3" xfId="35273"/>
    <cellStyle name="Tekst objaśnienia 4 4" xfId="35274"/>
    <cellStyle name="Tekst objaśnienia 4 5" xfId="35275"/>
    <cellStyle name="Tekst objaśnienia 4 6" xfId="35276"/>
    <cellStyle name="Tekst objaśnienia 4 7" xfId="35277"/>
    <cellStyle name="Tekst objaśnienia 4 8" xfId="35278"/>
    <cellStyle name="Tekst objaśnienia 4 9" xfId="35279"/>
    <cellStyle name="Tekst objaśnienia 5" xfId="35280"/>
    <cellStyle name="Tekst objaśnienia 5 2" xfId="35281"/>
    <cellStyle name="Tekst objaśnienia 5 3" xfId="35282"/>
    <cellStyle name="Tekst objaśnienia 6" xfId="35283"/>
    <cellStyle name="Tekst objaśnienia 6 2" xfId="35284"/>
    <cellStyle name="Tekst objaśnienia 7" xfId="35285"/>
    <cellStyle name="Tekst ostrzeżenia 2" xfId="35286"/>
    <cellStyle name="Tekst ostrzeżenia 2 10" xfId="35287"/>
    <cellStyle name="Tekst ostrzeżenia 2 10 2" xfId="35288"/>
    <cellStyle name="Tekst ostrzeżenia 2 10 3" xfId="35289"/>
    <cellStyle name="Tekst ostrzeżenia 2 10 4" xfId="35290"/>
    <cellStyle name="Tekst ostrzeżenia 2 10 5" xfId="35291"/>
    <cellStyle name="Tekst ostrzeżenia 2 10 6" xfId="35292"/>
    <cellStyle name="Tekst ostrzeżenia 2 10 7" xfId="35293"/>
    <cellStyle name="Tekst ostrzeżenia 2 11" xfId="35294"/>
    <cellStyle name="Tekst ostrzeżenia 2 11 2" xfId="35295"/>
    <cellStyle name="Tekst ostrzeżenia 2 11 3" xfId="35296"/>
    <cellStyle name="Tekst ostrzeżenia 2 11 4" xfId="35297"/>
    <cellStyle name="Tekst ostrzeżenia 2 11 5" xfId="35298"/>
    <cellStyle name="Tekst ostrzeżenia 2 11 6" xfId="35299"/>
    <cellStyle name="Tekst ostrzeżenia 2 11 7" xfId="35300"/>
    <cellStyle name="Tekst ostrzeżenia 2 12" xfId="35301"/>
    <cellStyle name="Tekst ostrzeżenia 2 12 2" xfId="35302"/>
    <cellStyle name="Tekst ostrzeżenia 2 12 3" xfId="35303"/>
    <cellStyle name="Tekst ostrzeżenia 2 12 4" xfId="35304"/>
    <cellStyle name="Tekst ostrzeżenia 2 12 5" xfId="35305"/>
    <cellStyle name="Tekst ostrzeżenia 2 12 6" xfId="35306"/>
    <cellStyle name="Tekst ostrzeżenia 2 12 7" xfId="35307"/>
    <cellStyle name="Tekst ostrzeżenia 2 13" xfId="35308"/>
    <cellStyle name="Tekst ostrzeżenia 2 13 2" xfId="35309"/>
    <cellStyle name="Tekst ostrzeżenia 2 13 3" xfId="35310"/>
    <cellStyle name="Tekst ostrzeżenia 2 13 4" xfId="35311"/>
    <cellStyle name="Tekst ostrzeżenia 2 13 5" xfId="35312"/>
    <cellStyle name="Tekst ostrzeżenia 2 13 6" xfId="35313"/>
    <cellStyle name="Tekst ostrzeżenia 2 13 7" xfId="35314"/>
    <cellStyle name="Tekst ostrzeżenia 2 14" xfId="35315"/>
    <cellStyle name="Tekst ostrzeżenia 2 14 2" xfId="35316"/>
    <cellStyle name="Tekst ostrzeżenia 2 14 3" xfId="35317"/>
    <cellStyle name="Tekst ostrzeżenia 2 14 4" xfId="35318"/>
    <cellStyle name="Tekst ostrzeżenia 2 14 5" xfId="35319"/>
    <cellStyle name="Tekst ostrzeżenia 2 14 6" xfId="35320"/>
    <cellStyle name="Tekst ostrzeżenia 2 14 7" xfId="35321"/>
    <cellStyle name="Tekst ostrzeżenia 2 15" xfId="35322"/>
    <cellStyle name="Tekst ostrzeżenia 2 15 2" xfId="35323"/>
    <cellStyle name="Tekst ostrzeżenia 2 15 3" xfId="35324"/>
    <cellStyle name="Tekst ostrzeżenia 2 15 4" xfId="35325"/>
    <cellStyle name="Tekst ostrzeżenia 2 15 5" xfId="35326"/>
    <cellStyle name="Tekst ostrzeżenia 2 15 6" xfId="35327"/>
    <cellStyle name="Tekst ostrzeżenia 2 15 7" xfId="35328"/>
    <cellStyle name="Tekst ostrzeżenia 2 16" xfId="35329"/>
    <cellStyle name="Tekst ostrzeżenia 2 16 2" xfId="35330"/>
    <cellStyle name="Tekst ostrzeżenia 2 16 3" xfId="35331"/>
    <cellStyle name="Tekst ostrzeżenia 2 16 4" xfId="35332"/>
    <cellStyle name="Tekst ostrzeżenia 2 16 5" xfId="35333"/>
    <cellStyle name="Tekst ostrzeżenia 2 16 6" xfId="35334"/>
    <cellStyle name="Tekst ostrzeżenia 2 16 7" xfId="35335"/>
    <cellStyle name="Tekst ostrzeżenia 2 17" xfId="35336"/>
    <cellStyle name="Tekst ostrzeżenia 2 17 2" xfId="35337"/>
    <cellStyle name="Tekst ostrzeżenia 2 17 3" xfId="35338"/>
    <cellStyle name="Tekst ostrzeżenia 2 17 4" xfId="35339"/>
    <cellStyle name="Tekst ostrzeżenia 2 17 5" xfId="35340"/>
    <cellStyle name="Tekst ostrzeżenia 2 17 6" xfId="35341"/>
    <cellStyle name="Tekst ostrzeżenia 2 17 7" xfId="35342"/>
    <cellStyle name="Tekst ostrzeżenia 2 18" xfId="35343"/>
    <cellStyle name="Tekst ostrzeżenia 2 18 2" xfId="35344"/>
    <cellStyle name="Tekst ostrzeżenia 2 18 3" xfId="35345"/>
    <cellStyle name="Tekst ostrzeżenia 2 18 4" xfId="35346"/>
    <cellStyle name="Tekst ostrzeżenia 2 18 5" xfId="35347"/>
    <cellStyle name="Tekst ostrzeżenia 2 18 6" xfId="35348"/>
    <cellStyle name="Tekst ostrzeżenia 2 18 7" xfId="35349"/>
    <cellStyle name="Tekst ostrzeżenia 2 19" xfId="35350"/>
    <cellStyle name="Tekst ostrzeżenia 2 19 2" xfId="35351"/>
    <cellStyle name="Tekst ostrzeżenia 2 19 3" xfId="35352"/>
    <cellStyle name="Tekst ostrzeżenia 2 19 4" xfId="35353"/>
    <cellStyle name="Tekst ostrzeżenia 2 19 5" xfId="35354"/>
    <cellStyle name="Tekst ostrzeżenia 2 19 6" xfId="35355"/>
    <cellStyle name="Tekst ostrzeżenia 2 19 7" xfId="35356"/>
    <cellStyle name="Tekst ostrzeżenia 2 2" xfId="35357"/>
    <cellStyle name="Tekst ostrzeżenia 2 2 2" xfId="35358"/>
    <cellStyle name="Tekst ostrzeżenia 2 2 3" xfId="35359"/>
    <cellStyle name="Tekst ostrzeżenia 2 2 4" xfId="35360"/>
    <cellStyle name="Tekst ostrzeżenia 2 2 5" xfId="35361"/>
    <cellStyle name="Tekst ostrzeżenia 2 2 6" xfId="35362"/>
    <cellStyle name="Tekst ostrzeżenia 2 2 7" xfId="35363"/>
    <cellStyle name="Tekst ostrzeżenia 2 2 8" xfId="35364"/>
    <cellStyle name="Tekst ostrzeżenia 2 20" xfId="35365"/>
    <cellStyle name="Tekst ostrzeżenia 2 20 2" xfId="35366"/>
    <cellStyle name="Tekst ostrzeżenia 2 20 3" xfId="35367"/>
    <cellStyle name="Tekst ostrzeżenia 2 20 4" xfId="35368"/>
    <cellStyle name="Tekst ostrzeżenia 2 20 5" xfId="35369"/>
    <cellStyle name="Tekst ostrzeżenia 2 20 6" xfId="35370"/>
    <cellStyle name="Tekst ostrzeżenia 2 20 7" xfId="35371"/>
    <cellStyle name="Tekst ostrzeżenia 2 21" xfId="35372"/>
    <cellStyle name="Tekst ostrzeżenia 2 21 2" xfId="35373"/>
    <cellStyle name="Tekst ostrzeżenia 2 21 3" xfId="35374"/>
    <cellStyle name="Tekst ostrzeżenia 2 21 4" xfId="35375"/>
    <cellStyle name="Tekst ostrzeżenia 2 21 5" xfId="35376"/>
    <cellStyle name="Tekst ostrzeżenia 2 21 6" xfId="35377"/>
    <cellStyle name="Tekst ostrzeżenia 2 21 7" xfId="35378"/>
    <cellStyle name="Tekst ostrzeżenia 2 22" xfId="35379"/>
    <cellStyle name="Tekst ostrzeżenia 2 22 2" xfId="35380"/>
    <cellStyle name="Tekst ostrzeżenia 2 22 3" xfId="35381"/>
    <cellStyle name="Tekst ostrzeżenia 2 22 4" xfId="35382"/>
    <cellStyle name="Tekst ostrzeżenia 2 22 5" xfId="35383"/>
    <cellStyle name="Tekst ostrzeżenia 2 22 6" xfId="35384"/>
    <cellStyle name="Tekst ostrzeżenia 2 22 7" xfId="35385"/>
    <cellStyle name="Tekst ostrzeżenia 2 23" xfId="35386"/>
    <cellStyle name="Tekst ostrzeżenia 2 23 2" xfId="35387"/>
    <cellStyle name="Tekst ostrzeżenia 2 23 3" xfId="35388"/>
    <cellStyle name="Tekst ostrzeżenia 2 23 4" xfId="35389"/>
    <cellStyle name="Tekst ostrzeżenia 2 23 5" xfId="35390"/>
    <cellStyle name="Tekst ostrzeżenia 2 23 6" xfId="35391"/>
    <cellStyle name="Tekst ostrzeżenia 2 23 7" xfId="35392"/>
    <cellStyle name="Tekst ostrzeżenia 2 24" xfId="35393"/>
    <cellStyle name="Tekst ostrzeżenia 2 24 2" xfId="35394"/>
    <cellStyle name="Tekst ostrzeżenia 2 24 3" xfId="35395"/>
    <cellStyle name="Tekst ostrzeżenia 2 24 4" xfId="35396"/>
    <cellStyle name="Tekst ostrzeżenia 2 24 5" xfId="35397"/>
    <cellStyle name="Tekst ostrzeżenia 2 24 6" xfId="35398"/>
    <cellStyle name="Tekst ostrzeżenia 2 24 7" xfId="35399"/>
    <cellStyle name="Tekst ostrzeżenia 2 25" xfId="35400"/>
    <cellStyle name="Tekst ostrzeżenia 2 25 2" xfId="35401"/>
    <cellStyle name="Tekst ostrzeżenia 2 25 3" xfId="35402"/>
    <cellStyle name="Tekst ostrzeżenia 2 25 4" xfId="35403"/>
    <cellStyle name="Tekst ostrzeżenia 2 25 5" xfId="35404"/>
    <cellStyle name="Tekst ostrzeżenia 2 25 6" xfId="35405"/>
    <cellStyle name="Tekst ostrzeżenia 2 25 7" xfId="35406"/>
    <cellStyle name="Tekst ostrzeżenia 2 26" xfId="35407"/>
    <cellStyle name="Tekst ostrzeżenia 2 26 2" xfId="35408"/>
    <cellStyle name="Tekst ostrzeżenia 2 26 3" xfId="35409"/>
    <cellStyle name="Tekst ostrzeżenia 2 26 4" xfId="35410"/>
    <cellStyle name="Tekst ostrzeżenia 2 26 5" xfId="35411"/>
    <cellStyle name="Tekst ostrzeżenia 2 26 6" xfId="35412"/>
    <cellStyle name="Tekst ostrzeżenia 2 26 7" xfId="35413"/>
    <cellStyle name="Tekst ostrzeżenia 2 27" xfId="35414"/>
    <cellStyle name="Tekst ostrzeżenia 2 27 2" xfId="35415"/>
    <cellStyle name="Tekst ostrzeżenia 2 27 3" xfId="35416"/>
    <cellStyle name="Tekst ostrzeżenia 2 27 4" xfId="35417"/>
    <cellStyle name="Tekst ostrzeżenia 2 27 5" xfId="35418"/>
    <cellStyle name="Tekst ostrzeżenia 2 27 6" xfId="35419"/>
    <cellStyle name="Tekst ostrzeżenia 2 27 7" xfId="35420"/>
    <cellStyle name="Tekst ostrzeżenia 2 28" xfId="35421"/>
    <cellStyle name="Tekst ostrzeżenia 2 28 2" xfId="35422"/>
    <cellStyle name="Tekst ostrzeżenia 2 28 3" xfId="35423"/>
    <cellStyle name="Tekst ostrzeżenia 2 28 4" xfId="35424"/>
    <cellStyle name="Tekst ostrzeżenia 2 28 5" xfId="35425"/>
    <cellStyle name="Tekst ostrzeżenia 2 28 6" xfId="35426"/>
    <cellStyle name="Tekst ostrzeżenia 2 28 7" xfId="35427"/>
    <cellStyle name="Tekst ostrzeżenia 2 29" xfId="35428"/>
    <cellStyle name="Tekst ostrzeżenia 2 29 2" xfId="35429"/>
    <cellStyle name="Tekst ostrzeżenia 2 3" xfId="35430"/>
    <cellStyle name="Tekst ostrzeżenia 2 3 2" xfId="35431"/>
    <cellStyle name="Tekst ostrzeżenia 2 3 3" xfId="35432"/>
    <cellStyle name="Tekst ostrzeżenia 2 3 4" xfId="35433"/>
    <cellStyle name="Tekst ostrzeżenia 2 3 5" xfId="35434"/>
    <cellStyle name="Tekst ostrzeżenia 2 3 6" xfId="35435"/>
    <cellStyle name="Tekst ostrzeżenia 2 3 7" xfId="35436"/>
    <cellStyle name="Tekst ostrzeżenia 2 30" xfId="35437"/>
    <cellStyle name="Tekst ostrzeżenia 2 30 2" xfId="35438"/>
    <cellStyle name="Tekst ostrzeżenia 2 31" xfId="35439"/>
    <cellStyle name="Tekst ostrzeżenia 2 31 2" xfId="35440"/>
    <cellStyle name="Tekst ostrzeżenia 2 32" xfId="35441"/>
    <cellStyle name="Tekst ostrzeżenia 2 32 2" xfId="35442"/>
    <cellStyle name="Tekst ostrzeżenia 2 33" xfId="35443"/>
    <cellStyle name="Tekst ostrzeżenia 2 34" xfId="35444"/>
    <cellStyle name="Tekst ostrzeżenia 2 35" xfId="35445"/>
    <cellStyle name="Tekst ostrzeżenia 2 36" xfId="35446"/>
    <cellStyle name="Tekst ostrzeżenia 2 37" xfId="35447"/>
    <cellStyle name="Tekst ostrzeżenia 2 38" xfId="35448"/>
    <cellStyle name="Tekst ostrzeżenia 2 39" xfId="35449"/>
    <cellStyle name="Tekst ostrzeżenia 2 4" xfId="35450"/>
    <cellStyle name="Tekst ostrzeżenia 2 4 2" xfId="35451"/>
    <cellStyle name="Tekst ostrzeżenia 2 4 3" xfId="35452"/>
    <cellStyle name="Tekst ostrzeżenia 2 4 4" xfId="35453"/>
    <cellStyle name="Tekst ostrzeżenia 2 4 5" xfId="35454"/>
    <cellStyle name="Tekst ostrzeżenia 2 4 6" xfId="35455"/>
    <cellStyle name="Tekst ostrzeżenia 2 4 7" xfId="35456"/>
    <cellStyle name="Tekst ostrzeżenia 2 40" xfId="35457"/>
    <cellStyle name="Tekst ostrzeżenia 2 41" xfId="35458"/>
    <cellStyle name="Tekst ostrzeżenia 2 42" xfId="35459"/>
    <cellStyle name="Tekst ostrzeżenia 2 43" xfId="35460"/>
    <cellStyle name="Tekst ostrzeżenia 2 44" xfId="35461"/>
    <cellStyle name="Tekst ostrzeżenia 2 45" xfId="35462"/>
    <cellStyle name="Tekst ostrzeżenia 2 46" xfId="35463"/>
    <cellStyle name="Tekst ostrzeżenia 2 47" xfId="35464"/>
    <cellStyle name="Tekst ostrzeżenia 2 48" xfId="35465"/>
    <cellStyle name="Tekst ostrzeżenia 2 49" xfId="35466"/>
    <cellStyle name="Tekst ostrzeżenia 2 5" xfId="35467"/>
    <cellStyle name="Tekst ostrzeżenia 2 5 2" xfId="35468"/>
    <cellStyle name="Tekst ostrzeżenia 2 5 3" xfId="35469"/>
    <cellStyle name="Tekst ostrzeżenia 2 5 4" xfId="35470"/>
    <cellStyle name="Tekst ostrzeżenia 2 5 5" xfId="35471"/>
    <cellStyle name="Tekst ostrzeżenia 2 5 6" xfId="35472"/>
    <cellStyle name="Tekst ostrzeżenia 2 5 7" xfId="35473"/>
    <cellStyle name="Tekst ostrzeżenia 2 50" xfId="35474"/>
    <cellStyle name="Tekst ostrzeżenia 2 51" xfId="35475"/>
    <cellStyle name="Tekst ostrzeżenia 2 52" xfId="35476"/>
    <cellStyle name="Tekst ostrzeżenia 2 6" xfId="35477"/>
    <cellStyle name="Tekst ostrzeżenia 2 6 2" xfId="35478"/>
    <cellStyle name="Tekst ostrzeżenia 2 6 3" xfId="35479"/>
    <cellStyle name="Tekst ostrzeżenia 2 6 4" xfId="35480"/>
    <cellStyle name="Tekst ostrzeżenia 2 6 5" xfId="35481"/>
    <cellStyle name="Tekst ostrzeżenia 2 6 6" xfId="35482"/>
    <cellStyle name="Tekst ostrzeżenia 2 6 7" xfId="35483"/>
    <cellStyle name="Tekst ostrzeżenia 2 7" xfId="35484"/>
    <cellStyle name="Tekst ostrzeżenia 2 7 2" xfId="35485"/>
    <cellStyle name="Tekst ostrzeżenia 2 7 3" xfId="35486"/>
    <cellStyle name="Tekst ostrzeżenia 2 7 4" xfId="35487"/>
    <cellStyle name="Tekst ostrzeżenia 2 7 5" xfId="35488"/>
    <cellStyle name="Tekst ostrzeżenia 2 7 6" xfId="35489"/>
    <cellStyle name="Tekst ostrzeżenia 2 7 7" xfId="35490"/>
    <cellStyle name="Tekst ostrzeżenia 2 8" xfId="35491"/>
    <cellStyle name="Tekst ostrzeżenia 2 8 2" xfId="35492"/>
    <cellStyle name="Tekst ostrzeżenia 2 8 3" xfId="35493"/>
    <cellStyle name="Tekst ostrzeżenia 2 8 4" xfId="35494"/>
    <cellStyle name="Tekst ostrzeżenia 2 8 5" xfId="35495"/>
    <cellStyle name="Tekst ostrzeżenia 2 8 6" xfId="35496"/>
    <cellStyle name="Tekst ostrzeżenia 2 8 7" xfId="35497"/>
    <cellStyle name="Tekst ostrzeżenia 2 9" xfId="35498"/>
    <cellStyle name="Tekst ostrzeżenia 2 9 2" xfId="35499"/>
    <cellStyle name="Tekst ostrzeżenia 2 9 3" xfId="35500"/>
    <cellStyle name="Tekst ostrzeżenia 2 9 4" xfId="35501"/>
    <cellStyle name="Tekst ostrzeżenia 2 9 5" xfId="35502"/>
    <cellStyle name="Tekst ostrzeżenia 2 9 6" xfId="35503"/>
    <cellStyle name="Tekst ostrzeżenia 2 9 7" xfId="35504"/>
    <cellStyle name="Tekst ostrzeżenia 3" xfId="35505"/>
    <cellStyle name="Tekst ostrzeżenia 3 2" xfId="35506"/>
    <cellStyle name="Tekst ostrzeżenia 3 2 2" xfId="35507"/>
    <cellStyle name="Tekst ostrzeżenia 3 3" xfId="35508"/>
    <cellStyle name="Tekst ostrzeżenia 3 4" xfId="35509"/>
    <cellStyle name="Tekst ostrzeżenia 3 5" xfId="35510"/>
    <cellStyle name="Tekst ostrzeżenia 3 6" xfId="35511"/>
    <cellStyle name="Tekst ostrzeżenia 3 7" xfId="35512"/>
    <cellStyle name="Tekst ostrzeżenia 3 8" xfId="35513"/>
    <cellStyle name="Tekst ostrzeżenia 3 9" xfId="35514"/>
    <cellStyle name="Tekst ostrzeżenia 4" xfId="35515"/>
    <cellStyle name="Tekst ostrzeżenia 4 2" xfId="35516"/>
    <cellStyle name="Tekst ostrzeżenia 4 3" xfId="35517"/>
    <cellStyle name="Tekst ostrzeżenia 4 4" xfId="35518"/>
    <cellStyle name="Tekst ostrzeżenia 4 5" xfId="35519"/>
    <cellStyle name="Tekst ostrzeżenia 4 6" xfId="35520"/>
    <cellStyle name="Tekst ostrzeżenia 4 7" xfId="35521"/>
    <cellStyle name="Tekst ostrzeżenia 4 8" xfId="35522"/>
    <cellStyle name="Tekst ostrzeżenia 4 9" xfId="35523"/>
    <cellStyle name="Tekst ostrzeżenia 5" xfId="35524"/>
    <cellStyle name="Tekst ostrzeżenia 5 2" xfId="35525"/>
    <cellStyle name="Tekst ostrzeżenia 6" xfId="35526"/>
    <cellStyle name="Tekst ostrzeżenia 7" xfId="35527"/>
    <cellStyle name="Tytuł 2" xfId="35528"/>
    <cellStyle name="Tytuł 2 10" xfId="35529"/>
    <cellStyle name="Tytuł 2 10 2" xfId="35530"/>
    <cellStyle name="Tytuł 2 10 3" xfId="35531"/>
    <cellStyle name="Tytuł 2 10 4" xfId="35532"/>
    <cellStyle name="Tytuł 2 10 5" xfId="35533"/>
    <cellStyle name="Tytuł 2 10 6" xfId="35534"/>
    <cellStyle name="Tytuł 2 10 7" xfId="35535"/>
    <cellStyle name="Tytuł 2 11" xfId="35536"/>
    <cellStyle name="Tytuł 2 11 2" xfId="35537"/>
    <cellStyle name="Tytuł 2 11 3" xfId="35538"/>
    <cellStyle name="Tytuł 2 11 4" xfId="35539"/>
    <cellStyle name="Tytuł 2 11 5" xfId="35540"/>
    <cellStyle name="Tytuł 2 11 6" xfId="35541"/>
    <cellStyle name="Tytuł 2 11 7" xfId="35542"/>
    <cellStyle name="Tytuł 2 12" xfId="35543"/>
    <cellStyle name="Tytuł 2 12 2" xfId="35544"/>
    <cellStyle name="Tytuł 2 12 3" xfId="35545"/>
    <cellStyle name="Tytuł 2 12 4" xfId="35546"/>
    <cellStyle name="Tytuł 2 12 5" xfId="35547"/>
    <cellStyle name="Tytuł 2 12 6" xfId="35548"/>
    <cellStyle name="Tytuł 2 12 7" xfId="35549"/>
    <cellStyle name="Tytuł 2 13" xfId="35550"/>
    <cellStyle name="Tytuł 2 13 2" xfId="35551"/>
    <cellStyle name="Tytuł 2 13 3" xfId="35552"/>
    <cellStyle name="Tytuł 2 13 4" xfId="35553"/>
    <cellStyle name="Tytuł 2 13 5" xfId="35554"/>
    <cellStyle name="Tytuł 2 13 6" xfId="35555"/>
    <cellStyle name="Tytuł 2 13 7" xfId="35556"/>
    <cellStyle name="Tytuł 2 14" xfId="35557"/>
    <cellStyle name="Tytuł 2 14 2" xfId="35558"/>
    <cellStyle name="Tytuł 2 14 3" xfId="35559"/>
    <cellStyle name="Tytuł 2 14 4" xfId="35560"/>
    <cellStyle name="Tytuł 2 14 5" xfId="35561"/>
    <cellStyle name="Tytuł 2 14 6" xfId="35562"/>
    <cellStyle name="Tytuł 2 14 7" xfId="35563"/>
    <cellStyle name="Tytuł 2 15" xfId="35564"/>
    <cellStyle name="Tytuł 2 15 2" xfId="35565"/>
    <cellStyle name="Tytuł 2 15 3" xfId="35566"/>
    <cellStyle name="Tytuł 2 15 4" xfId="35567"/>
    <cellStyle name="Tytuł 2 15 5" xfId="35568"/>
    <cellStyle name="Tytuł 2 15 6" xfId="35569"/>
    <cellStyle name="Tytuł 2 15 7" xfId="35570"/>
    <cellStyle name="Tytuł 2 16" xfId="35571"/>
    <cellStyle name="Tytuł 2 16 2" xfId="35572"/>
    <cellStyle name="Tytuł 2 16 3" xfId="35573"/>
    <cellStyle name="Tytuł 2 16 4" xfId="35574"/>
    <cellStyle name="Tytuł 2 16 5" xfId="35575"/>
    <cellStyle name="Tytuł 2 16 6" xfId="35576"/>
    <cellStyle name="Tytuł 2 16 7" xfId="35577"/>
    <cellStyle name="Tytuł 2 17" xfId="35578"/>
    <cellStyle name="Tytuł 2 17 2" xfId="35579"/>
    <cellStyle name="Tytuł 2 17 3" xfId="35580"/>
    <cellStyle name="Tytuł 2 17 4" xfId="35581"/>
    <cellStyle name="Tytuł 2 17 5" xfId="35582"/>
    <cellStyle name="Tytuł 2 17 6" xfId="35583"/>
    <cellStyle name="Tytuł 2 17 7" xfId="35584"/>
    <cellStyle name="Tytuł 2 18" xfId="35585"/>
    <cellStyle name="Tytuł 2 18 2" xfId="35586"/>
    <cellStyle name="Tytuł 2 18 3" xfId="35587"/>
    <cellStyle name="Tytuł 2 18 4" xfId="35588"/>
    <cellStyle name="Tytuł 2 18 5" xfId="35589"/>
    <cellStyle name="Tytuł 2 18 6" xfId="35590"/>
    <cellStyle name="Tytuł 2 18 7" xfId="35591"/>
    <cellStyle name="Tytuł 2 19" xfId="35592"/>
    <cellStyle name="Tytuł 2 19 2" xfId="35593"/>
    <cellStyle name="Tytuł 2 19 3" xfId="35594"/>
    <cellStyle name="Tytuł 2 19 4" xfId="35595"/>
    <cellStyle name="Tytuł 2 19 5" xfId="35596"/>
    <cellStyle name="Tytuł 2 19 6" xfId="35597"/>
    <cellStyle name="Tytuł 2 19 7" xfId="35598"/>
    <cellStyle name="Tytuł 2 2" xfId="35599"/>
    <cellStyle name="Tytuł 2 2 2" xfId="35600"/>
    <cellStyle name="Tytuł 2 2 3" xfId="35601"/>
    <cellStyle name="Tytuł 2 2 4" xfId="35602"/>
    <cellStyle name="Tytuł 2 2 5" xfId="35603"/>
    <cellStyle name="Tytuł 2 2 6" xfId="35604"/>
    <cellStyle name="Tytuł 2 2 7" xfId="35605"/>
    <cellStyle name="Tytuł 2 2 8" xfId="35606"/>
    <cellStyle name="Tytuł 2 20" xfId="35607"/>
    <cellStyle name="Tytuł 2 20 2" xfId="35608"/>
    <cellStyle name="Tytuł 2 20 3" xfId="35609"/>
    <cellStyle name="Tytuł 2 20 4" xfId="35610"/>
    <cellStyle name="Tytuł 2 20 5" xfId="35611"/>
    <cellStyle name="Tytuł 2 20 6" xfId="35612"/>
    <cellStyle name="Tytuł 2 20 7" xfId="35613"/>
    <cellStyle name="Tytuł 2 21" xfId="35614"/>
    <cellStyle name="Tytuł 2 21 2" xfId="35615"/>
    <cellStyle name="Tytuł 2 21 3" xfId="35616"/>
    <cellStyle name="Tytuł 2 21 4" xfId="35617"/>
    <cellStyle name="Tytuł 2 21 5" xfId="35618"/>
    <cellStyle name="Tytuł 2 21 6" xfId="35619"/>
    <cellStyle name="Tytuł 2 21 7" xfId="35620"/>
    <cellStyle name="Tytuł 2 22" xfId="35621"/>
    <cellStyle name="Tytuł 2 22 2" xfId="35622"/>
    <cellStyle name="Tytuł 2 22 3" xfId="35623"/>
    <cellStyle name="Tytuł 2 22 4" xfId="35624"/>
    <cellStyle name="Tytuł 2 22 5" xfId="35625"/>
    <cellStyle name="Tytuł 2 22 6" xfId="35626"/>
    <cellStyle name="Tytuł 2 22 7" xfId="35627"/>
    <cellStyle name="Tytuł 2 23" xfId="35628"/>
    <cellStyle name="Tytuł 2 23 2" xfId="35629"/>
    <cellStyle name="Tytuł 2 23 3" xfId="35630"/>
    <cellStyle name="Tytuł 2 23 4" xfId="35631"/>
    <cellStyle name="Tytuł 2 23 5" xfId="35632"/>
    <cellStyle name="Tytuł 2 23 6" xfId="35633"/>
    <cellStyle name="Tytuł 2 23 7" xfId="35634"/>
    <cellStyle name="Tytuł 2 24" xfId="35635"/>
    <cellStyle name="Tytuł 2 24 2" xfId="35636"/>
    <cellStyle name="Tytuł 2 24 3" xfId="35637"/>
    <cellStyle name="Tytuł 2 24 4" xfId="35638"/>
    <cellStyle name="Tytuł 2 24 5" xfId="35639"/>
    <cellStyle name="Tytuł 2 24 6" xfId="35640"/>
    <cellStyle name="Tytuł 2 24 7" xfId="35641"/>
    <cellStyle name="Tytuł 2 25" xfId="35642"/>
    <cellStyle name="Tytuł 2 25 2" xfId="35643"/>
    <cellStyle name="Tytuł 2 25 3" xfId="35644"/>
    <cellStyle name="Tytuł 2 25 4" xfId="35645"/>
    <cellStyle name="Tytuł 2 25 5" xfId="35646"/>
    <cellStyle name="Tytuł 2 25 6" xfId="35647"/>
    <cellStyle name="Tytuł 2 25 7" xfId="35648"/>
    <cellStyle name="Tytuł 2 26" xfId="35649"/>
    <cellStyle name="Tytuł 2 26 2" xfId="35650"/>
    <cellStyle name="Tytuł 2 26 3" xfId="35651"/>
    <cellStyle name="Tytuł 2 26 4" xfId="35652"/>
    <cellStyle name="Tytuł 2 26 5" xfId="35653"/>
    <cellStyle name="Tytuł 2 26 6" xfId="35654"/>
    <cellStyle name="Tytuł 2 26 7" xfId="35655"/>
    <cellStyle name="Tytuł 2 27" xfId="35656"/>
    <cellStyle name="Tytuł 2 27 2" xfId="35657"/>
    <cellStyle name="Tytuł 2 27 3" xfId="35658"/>
    <cellStyle name="Tytuł 2 27 4" xfId="35659"/>
    <cellStyle name="Tytuł 2 27 5" xfId="35660"/>
    <cellStyle name="Tytuł 2 27 6" xfId="35661"/>
    <cellStyle name="Tytuł 2 27 7" xfId="35662"/>
    <cellStyle name="Tytuł 2 28" xfId="35663"/>
    <cellStyle name="Tytuł 2 28 2" xfId="35664"/>
    <cellStyle name="Tytuł 2 28 3" xfId="35665"/>
    <cellStyle name="Tytuł 2 28 4" xfId="35666"/>
    <cellStyle name="Tytuł 2 28 5" xfId="35667"/>
    <cellStyle name="Tytuł 2 28 6" xfId="35668"/>
    <cellStyle name="Tytuł 2 28 7" xfId="35669"/>
    <cellStyle name="Tytuł 2 29" xfId="35670"/>
    <cellStyle name="Tytuł 2 3" xfId="35671"/>
    <cellStyle name="Tytuł 2 3 2" xfId="35672"/>
    <cellStyle name="Tytuł 2 3 3" xfId="35673"/>
    <cellStyle name="Tytuł 2 3 4" xfId="35674"/>
    <cellStyle name="Tytuł 2 3 5" xfId="35675"/>
    <cellStyle name="Tytuł 2 3 6" xfId="35676"/>
    <cellStyle name="Tytuł 2 3 7" xfId="35677"/>
    <cellStyle name="Tytuł 2 30" xfId="35678"/>
    <cellStyle name="Tytuł 2 31" xfId="35679"/>
    <cellStyle name="Tytuł 2 32" xfId="35680"/>
    <cellStyle name="Tytuł 2 33" xfId="35681"/>
    <cellStyle name="Tytuł 2 34" xfId="35682"/>
    <cellStyle name="Tytuł 2 35" xfId="35683"/>
    <cellStyle name="Tytuł 2 36" xfId="35684"/>
    <cellStyle name="Tytuł 2 37" xfId="35685"/>
    <cellStyle name="Tytuł 2 38" xfId="35686"/>
    <cellStyle name="Tytuł 2 39" xfId="35687"/>
    <cellStyle name="Tytuł 2 4" xfId="35688"/>
    <cellStyle name="Tytuł 2 4 2" xfId="35689"/>
    <cellStyle name="Tytuł 2 4 3" xfId="35690"/>
    <cellStyle name="Tytuł 2 4 4" xfId="35691"/>
    <cellStyle name="Tytuł 2 4 5" xfId="35692"/>
    <cellStyle name="Tytuł 2 4 6" xfId="35693"/>
    <cellStyle name="Tytuł 2 4 7" xfId="35694"/>
    <cellStyle name="Tytuł 2 40" xfId="35695"/>
    <cellStyle name="Tytuł 2 41" xfId="35696"/>
    <cellStyle name="Tytuł 2 42" xfId="35697"/>
    <cellStyle name="Tytuł 2 43" xfId="35698"/>
    <cellStyle name="Tytuł 2 44" xfId="35699"/>
    <cellStyle name="Tytuł 2 45" xfId="35700"/>
    <cellStyle name="Tytuł 2 46" xfId="35701"/>
    <cellStyle name="Tytuł 2 47" xfId="35702"/>
    <cellStyle name="Tytuł 2 48" xfId="35703"/>
    <cellStyle name="Tytuł 2 49" xfId="35704"/>
    <cellStyle name="Tytuł 2 5" xfId="35705"/>
    <cellStyle name="Tytuł 2 5 2" xfId="35706"/>
    <cellStyle name="Tytuł 2 5 3" xfId="35707"/>
    <cellStyle name="Tytuł 2 5 4" xfId="35708"/>
    <cellStyle name="Tytuł 2 5 5" xfId="35709"/>
    <cellStyle name="Tytuł 2 5 6" xfId="35710"/>
    <cellStyle name="Tytuł 2 5 7" xfId="35711"/>
    <cellStyle name="Tytuł 2 50" xfId="35712"/>
    <cellStyle name="Tytuł 2 51" xfId="35713"/>
    <cellStyle name="Tytuł 2 52" xfId="35714"/>
    <cellStyle name="Tytuł 2 6" xfId="35715"/>
    <cellStyle name="Tytuł 2 6 2" xfId="35716"/>
    <cellStyle name="Tytuł 2 6 3" xfId="35717"/>
    <cellStyle name="Tytuł 2 6 4" xfId="35718"/>
    <cellStyle name="Tytuł 2 6 5" xfId="35719"/>
    <cellStyle name="Tytuł 2 6 6" xfId="35720"/>
    <cellStyle name="Tytuł 2 6 7" xfId="35721"/>
    <cellStyle name="Tytuł 2 7" xfId="35722"/>
    <cellStyle name="Tytuł 2 7 2" xfId="35723"/>
    <cellStyle name="Tytuł 2 7 3" xfId="35724"/>
    <cellStyle name="Tytuł 2 7 4" xfId="35725"/>
    <cellStyle name="Tytuł 2 7 5" xfId="35726"/>
    <cellStyle name="Tytuł 2 7 6" xfId="35727"/>
    <cellStyle name="Tytuł 2 7 7" xfId="35728"/>
    <cellStyle name="Tytuł 2 8" xfId="35729"/>
    <cellStyle name="Tytuł 2 8 2" xfId="35730"/>
    <cellStyle name="Tytuł 2 8 3" xfId="35731"/>
    <cellStyle name="Tytuł 2 8 4" xfId="35732"/>
    <cellStyle name="Tytuł 2 8 5" xfId="35733"/>
    <cellStyle name="Tytuł 2 8 6" xfId="35734"/>
    <cellStyle name="Tytuł 2 8 7" xfId="35735"/>
    <cellStyle name="Tytuł 2 9" xfId="35736"/>
    <cellStyle name="Tytuł 2 9 2" xfId="35737"/>
    <cellStyle name="Tytuł 2 9 3" xfId="35738"/>
    <cellStyle name="Tytuł 2 9 4" xfId="35739"/>
    <cellStyle name="Tytuł 2 9 5" xfId="35740"/>
    <cellStyle name="Tytuł 2 9 6" xfId="35741"/>
    <cellStyle name="Tytuł 2 9 7" xfId="35742"/>
    <cellStyle name="Tytuł 3" xfId="35743"/>
    <cellStyle name="Tytuł 3 2" xfId="35744"/>
    <cellStyle name="Tytuł 3 2 2" xfId="35745"/>
    <cellStyle name="Tytuł 3 3" xfId="35746"/>
    <cellStyle name="Tytuł 3 4" xfId="35747"/>
    <cellStyle name="Tytuł 3 5" xfId="35748"/>
    <cellStyle name="Tytuł 3 6" xfId="35749"/>
    <cellStyle name="Tytuł 3 7" xfId="35750"/>
    <cellStyle name="Tytuł 3 8" xfId="35751"/>
    <cellStyle name="Tytuł 4" xfId="35752"/>
    <cellStyle name="Tytuł 4 2" xfId="35753"/>
    <cellStyle name="Tytuł 4 3" xfId="35754"/>
    <cellStyle name="Tytuł 4 4" xfId="35755"/>
    <cellStyle name="Tytuł 4 5" xfId="35756"/>
    <cellStyle name="Tytuł 4 6" xfId="35757"/>
    <cellStyle name="Tytuł 4 7" xfId="35758"/>
    <cellStyle name="Tytuł 4 8" xfId="35759"/>
    <cellStyle name="Tytuł 5" xfId="35760"/>
    <cellStyle name="Tytuł 6" xfId="35761"/>
    <cellStyle name="Tytuł 7" xfId="35762"/>
    <cellStyle name="Tytuł 8" xfId="35763"/>
    <cellStyle name="über" xfId="35764"/>
    <cellStyle name="Unit" xfId="35765"/>
    <cellStyle name="Uwaga 10" xfId="35766"/>
    <cellStyle name="Uwaga 100" xfId="35767"/>
    <cellStyle name="Uwaga 100 2" xfId="35768"/>
    <cellStyle name="Uwaga 101" xfId="35769"/>
    <cellStyle name="Uwaga 101 2" xfId="35770"/>
    <cellStyle name="Uwaga 102" xfId="35771"/>
    <cellStyle name="Uwaga 102 2" xfId="35772"/>
    <cellStyle name="Uwaga 103" xfId="35773"/>
    <cellStyle name="Uwaga 103 2" xfId="35774"/>
    <cellStyle name="Uwaga 104" xfId="35775"/>
    <cellStyle name="Uwaga 104 2" xfId="35776"/>
    <cellStyle name="Uwaga 105" xfId="35777"/>
    <cellStyle name="Uwaga 105 2" xfId="35778"/>
    <cellStyle name="Uwaga 106" xfId="35779"/>
    <cellStyle name="Uwaga 106 2" xfId="35780"/>
    <cellStyle name="Uwaga 107" xfId="35781"/>
    <cellStyle name="Uwaga 107 2" xfId="35782"/>
    <cellStyle name="Uwaga 108" xfId="35783"/>
    <cellStyle name="Uwaga 108 2" xfId="35784"/>
    <cellStyle name="Uwaga 109" xfId="35785"/>
    <cellStyle name="Uwaga 109 2" xfId="35786"/>
    <cellStyle name="Uwaga 11" xfId="35787"/>
    <cellStyle name="Uwaga 110" xfId="35788"/>
    <cellStyle name="Uwaga 110 2" xfId="35789"/>
    <cellStyle name="Uwaga 111" xfId="35790"/>
    <cellStyle name="Uwaga 111 2" xfId="35791"/>
    <cellStyle name="Uwaga 112" xfId="35792"/>
    <cellStyle name="Uwaga 112 2" xfId="35793"/>
    <cellStyle name="Uwaga 113" xfId="35794"/>
    <cellStyle name="Uwaga 113 2" xfId="35795"/>
    <cellStyle name="Uwaga 114" xfId="35796"/>
    <cellStyle name="Uwaga 114 2" xfId="35797"/>
    <cellStyle name="Uwaga 115" xfId="35798"/>
    <cellStyle name="Uwaga 115 2" xfId="35799"/>
    <cellStyle name="Uwaga 116" xfId="35800"/>
    <cellStyle name="Uwaga 116 2" xfId="35801"/>
    <cellStyle name="Uwaga 117" xfId="35802"/>
    <cellStyle name="Uwaga 117 2" xfId="35803"/>
    <cellStyle name="Uwaga 118" xfId="35804"/>
    <cellStyle name="Uwaga 118 2" xfId="35805"/>
    <cellStyle name="Uwaga 119" xfId="35806"/>
    <cellStyle name="Uwaga 119 2" xfId="35807"/>
    <cellStyle name="Uwaga 12" xfId="35808"/>
    <cellStyle name="Uwaga 120" xfId="35809"/>
    <cellStyle name="Uwaga 120 2" xfId="35810"/>
    <cellStyle name="Uwaga 121" xfId="35811"/>
    <cellStyle name="Uwaga 121 2" xfId="35812"/>
    <cellStyle name="Uwaga 122" xfId="35813"/>
    <cellStyle name="Uwaga 122 2" xfId="35814"/>
    <cellStyle name="Uwaga 123" xfId="35815"/>
    <cellStyle name="Uwaga 123 2" xfId="35816"/>
    <cellStyle name="Uwaga 124" xfId="35817"/>
    <cellStyle name="Uwaga 124 2" xfId="35818"/>
    <cellStyle name="Uwaga 125" xfId="35819"/>
    <cellStyle name="Uwaga 13" xfId="35820"/>
    <cellStyle name="Uwaga 14" xfId="35821"/>
    <cellStyle name="Uwaga 15" xfId="35822"/>
    <cellStyle name="Uwaga 16" xfId="35823"/>
    <cellStyle name="Uwaga 17" xfId="35824"/>
    <cellStyle name="Uwaga 18" xfId="35825"/>
    <cellStyle name="Uwaga 19" xfId="35826"/>
    <cellStyle name="Uwaga 2" xfId="35827"/>
    <cellStyle name="Uwaga 2 10" xfId="35828"/>
    <cellStyle name="Uwaga 2 10 10" xfId="35829"/>
    <cellStyle name="Uwaga 2 10 10 2" xfId="35830"/>
    <cellStyle name="Uwaga 2 10 10 3" xfId="35831"/>
    <cellStyle name="Uwaga 2 10 10 4" xfId="35832"/>
    <cellStyle name="Uwaga 2 10 11" xfId="35833"/>
    <cellStyle name="Uwaga 2 10 11 2" xfId="35834"/>
    <cellStyle name="Uwaga 2 10 11 3" xfId="35835"/>
    <cellStyle name="Uwaga 2 10 11 4" xfId="35836"/>
    <cellStyle name="Uwaga 2 10 12" xfId="35837"/>
    <cellStyle name="Uwaga 2 10 12 2" xfId="35838"/>
    <cellStyle name="Uwaga 2 10 12 3" xfId="35839"/>
    <cellStyle name="Uwaga 2 10 12 4" xfId="35840"/>
    <cellStyle name="Uwaga 2 10 13" xfId="35841"/>
    <cellStyle name="Uwaga 2 10 13 2" xfId="35842"/>
    <cellStyle name="Uwaga 2 10 13 3" xfId="35843"/>
    <cellStyle name="Uwaga 2 10 13 4" xfId="35844"/>
    <cellStyle name="Uwaga 2 10 14" xfId="35845"/>
    <cellStyle name="Uwaga 2 10 14 2" xfId="35846"/>
    <cellStyle name="Uwaga 2 10 14 3" xfId="35847"/>
    <cellStyle name="Uwaga 2 10 14 4" xfId="35848"/>
    <cellStyle name="Uwaga 2 10 15" xfId="35849"/>
    <cellStyle name="Uwaga 2 10 15 2" xfId="35850"/>
    <cellStyle name="Uwaga 2 10 15 3" xfId="35851"/>
    <cellStyle name="Uwaga 2 10 15 4" xfId="35852"/>
    <cellStyle name="Uwaga 2 10 16" xfId="35853"/>
    <cellStyle name="Uwaga 2 10 16 2" xfId="35854"/>
    <cellStyle name="Uwaga 2 10 16 3" xfId="35855"/>
    <cellStyle name="Uwaga 2 10 16 4" xfId="35856"/>
    <cellStyle name="Uwaga 2 10 17" xfId="35857"/>
    <cellStyle name="Uwaga 2 10 17 2" xfId="35858"/>
    <cellStyle name="Uwaga 2 10 17 3" xfId="35859"/>
    <cellStyle name="Uwaga 2 10 17 4" xfId="35860"/>
    <cellStyle name="Uwaga 2 10 18" xfId="35861"/>
    <cellStyle name="Uwaga 2 10 18 2" xfId="35862"/>
    <cellStyle name="Uwaga 2 10 18 3" xfId="35863"/>
    <cellStyle name="Uwaga 2 10 18 4" xfId="35864"/>
    <cellStyle name="Uwaga 2 10 19" xfId="35865"/>
    <cellStyle name="Uwaga 2 10 19 2" xfId="35866"/>
    <cellStyle name="Uwaga 2 10 19 3" xfId="35867"/>
    <cellStyle name="Uwaga 2 10 19 4" xfId="35868"/>
    <cellStyle name="Uwaga 2 10 2" xfId="35869"/>
    <cellStyle name="Uwaga 2 10 2 2" xfId="35870"/>
    <cellStyle name="Uwaga 2 10 2 3" xfId="35871"/>
    <cellStyle name="Uwaga 2 10 2 4" xfId="35872"/>
    <cellStyle name="Uwaga 2 10 20" xfId="35873"/>
    <cellStyle name="Uwaga 2 10 20 2" xfId="35874"/>
    <cellStyle name="Uwaga 2 10 20 3" xfId="35875"/>
    <cellStyle name="Uwaga 2 10 20 4" xfId="35876"/>
    <cellStyle name="Uwaga 2 10 21" xfId="35877"/>
    <cellStyle name="Uwaga 2 10 21 2" xfId="35878"/>
    <cellStyle name="Uwaga 2 10 21 3" xfId="35879"/>
    <cellStyle name="Uwaga 2 10 22" xfId="35880"/>
    <cellStyle name="Uwaga 2 10 22 2" xfId="35881"/>
    <cellStyle name="Uwaga 2 10 22 3" xfId="35882"/>
    <cellStyle name="Uwaga 2 10 23" xfId="35883"/>
    <cellStyle name="Uwaga 2 10 23 2" xfId="35884"/>
    <cellStyle name="Uwaga 2 10 23 3" xfId="35885"/>
    <cellStyle name="Uwaga 2 10 24" xfId="35886"/>
    <cellStyle name="Uwaga 2 10 24 2" xfId="35887"/>
    <cellStyle name="Uwaga 2 10 24 3" xfId="35888"/>
    <cellStyle name="Uwaga 2 10 25" xfId="35889"/>
    <cellStyle name="Uwaga 2 10 25 2" xfId="35890"/>
    <cellStyle name="Uwaga 2 10 25 3" xfId="35891"/>
    <cellStyle name="Uwaga 2 10 26" xfId="35892"/>
    <cellStyle name="Uwaga 2 10 26 2" xfId="35893"/>
    <cellStyle name="Uwaga 2 10 26 3" xfId="35894"/>
    <cellStyle name="Uwaga 2 10 27" xfId="35895"/>
    <cellStyle name="Uwaga 2 10 27 2" xfId="35896"/>
    <cellStyle name="Uwaga 2 10 27 3" xfId="35897"/>
    <cellStyle name="Uwaga 2 10 28" xfId="35898"/>
    <cellStyle name="Uwaga 2 10 28 2" xfId="35899"/>
    <cellStyle name="Uwaga 2 10 28 3" xfId="35900"/>
    <cellStyle name="Uwaga 2 10 29" xfId="35901"/>
    <cellStyle name="Uwaga 2 10 29 2" xfId="35902"/>
    <cellStyle name="Uwaga 2 10 29 3" xfId="35903"/>
    <cellStyle name="Uwaga 2 10 3" xfId="35904"/>
    <cellStyle name="Uwaga 2 10 3 2" xfId="35905"/>
    <cellStyle name="Uwaga 2 10 3 3" xfId="35906"/>
    <cellStyle name="Uwaga 2 10 3 4" xfId="35907"/>
    <cellStyle name="Uwaga 2 10 30" xfId="35908"/>
    <cellStyle name="Uwaga 2 10 30 2" xfId="35909"/>
    <cellStyle name="Uwaga 2 10 30 3" xfId="35910"/>
    <cellStyle name="Uwaga 2 10 31" xfId="35911"/>
    <cellStyle name="Uwaga 2 10 31 2" xfId="35912"/>
    <cellStyle name="Uwaga 2 10 31 3" xfId="35913"/>
    <cellStyle name="Uwaga 2 10 32" xfId="35914"/>
    <cellStyle name="Uwaga 2 10 32 2" xfId="35915"/>
    <cellStyle name="Uwaga 2 10 32 3" xfId="35916"/>
    <cellStyle name="Uwaga 2 10 33" xfId="35917"/>
    <cellStyle name="Uwaga 2 10 33 2" xfId="35918"/>
    <cellStyle name="Uwaga 2 10 33 3" xfId="35919"/>
    <cellStyle name="Uwaga 2 10 34" xfId="35920"/>
    <cellStyle name="Uwaga 2 10 34 2" xfId="35921"/>
    <cellStyle name="Uwaga 2 10 34 3" xfId="35922"/>
    <cellStyle name="Uwaga 2 10 35" xfId="35923"/>
    <cellStyle name="Uwaga 2 10 35 2" xfId="35924"/>
    <cellStyle name="Uwaga 2 10 35 3" xfId="35925"/>
    <cellStyle name="Uwaga 2 10 36" xfId="35926"/>
    <cellStyle name="Uwaga 2 10 36 2" xfId="35927"/>
    <cellStyle name="Uwaga 2 10 36 3" xfId="35928"/>
    <cellStyle name="Uwaga 2 10 37" xfId="35929"/>
    <cellStyle name="Uwaga 2 10 37 2" xfId="35930"/>
    <cellStyle name="Uwaga 2 10 37 3" xfId="35931"/>
    <cellStyle name="Uwaga 2 10 38" xfId="35932"/>
    <cellStyle name="Uwaga 2 10 38 2" xfId="35933"/>
    <cellStyle name="Uwaga 2 10 38 3" xfId="35934"/>
    <cellStyle name="Uwaga 2 10 39" xfId="35935"/>
    <cellStyle name="Uwaga 2 10 39 2" xfId="35936"/>
    <cellStyle name="Uwaga 2 10 39 3" xfId="35937"/>
    <cellStyle name="Uwaga 2 10 4" xfId="35938"/>
    <cellStyle name="Uwaga 2 10 4 2" xfId="35939"/>
    <cellStyle name="Uwaga 2 10 4 3" xfId="35940"/>
    <cellStyle name="Uwaga 2 10 4 4" xfId="35941"/>
    <cellStyle name="Uwaga 2 10 40" xfId="35942"/>
    <cellStyle name="Uwaga 2 10 40 2" xfId="35943"/>
    <cellStyle name="Uwaga 2 10 40 3" xfId="35944"/>
    <cellStyle name="Uwaga 2 10 41" xfId="35945"/>
    <cellStyle name="Uwaga 2 10 41 2" xfId="35946"/>
    <cellStyle name="Uwaga 2 10 41 3" xfId="35947"/>
    <cellStyle name="Uwaga 2 10 42" xfId="35948"/>
    <cellStyle name="Uwaga 2 10 42 2" xfId="35949"/>
    <cellStyle name="Uwaga 2 10 42 3" xfId="35950"/>
    <cellStyle name="Uwaga 2 10 43" xfId="35951"/>
    <cellStyle name="Uwaga 2 10 43 2" xfId="35952"/>
    <cellStyle name="Uwaga 2 10 43 3" xfId="35953"/>
    <cellStyle name="Uwaga 2 10 44" xfId="35954"/>
    <cellStyle name="Uwaga 2 10 44 2" xfId="35955"/>
    <cellStyle name="Uwaga 2 10 44 3" xfId="35956"/>
    <cellStyle name="Uwaga 2 10 45" xfId="35957"/>
    <cellStyle name="Uwaga 2 10 45 2" xfId="35958"/>
    <cellStyle name="Uwaga 2 10 45 3" xfId="35959"/>
    <cellStyle name="Uwaga 2 10 46" xfId="35960"/>
    <cellStyle name="Uwaga 2 10 46 2" xfId="35961"/>
    <cellStyle name="Uwaga 2 10 46 3" xfId="35962"/>
    <cellStyle name="Uwaga 2 10 47" xfId="35963"/>
    <cellStyle name="Uwaga 2 10 47 2" xfId="35964"/>
    <cellStyle name="Uwaga 2 10 47 3" xfId="35965"/>
    <cellStyle name="Uwaga 2 10 48" xfId="35966"/>
    <cellStyle name="Uwaga 2 10 48 2" xfId="35967"/>
    <cellStyle name="Uwaga 2 10 48 3" xfId="35968"/>
    <cellStyle name="Uwaga 2 10 49" xfId="35969"/>
    <cellStyle name="Uwaga 2 10 49 2" xfId="35970"/>
    <cellStyle name="Uwaga 2 10 49 3" xfId="35971"/>
    <cellStyle name="Uwaga 2 10 5" xfId="35972"/>
    <cellStyle name="Uwaga 2 10 5 2" xfId="35973"/>
    <cellStyle name="Uwaga 2 10 5 3" xfId="35974"/>
    <cellStyle name="Uwaga 2 10 5 4" xfId="35975"/>
    <cellStyle name="Uwaga 2 10 50" xfId="35976"/>
    <cellStyle name="Uwaga 2 10 50 2" xfId="35977"/>
    <cellStyle name="Uwaga 2 10 50 3" xfId="35978"/>
    <cellStyle name="Uwaga 2 10 51" xfId="35979"/>
    <cellStyle name="Uwaga 2 10 51 2" xfId="35980"/>
    <cellStyle name="Uwaga 2 10 51 3" xfId="35981"/>
    <cellStyle name="Uwaga 2 10 52" xfId="35982"/>
    <cellStyle name="Uwaga 2 10 52 2" xfId="35983"/>
    <cellStyle name="Uwaga 2 10 52 3" xfId="35984"/>
    <cellStyle name="Uwaga 2 10 53" xfId="35985"/>
    <cellStyle name="Uwaga 2 10 53 2" xfId="35986"/>
    <cellStyle name="Uwaga 2 10 53 3" xfId="35987"/>
    <cellStyle name="Uwaga 2 10 54" xfId="35988"/>
    <cellStyle name="Uwaga 2 10 54 2" xfId="35989"/>
    <cellStyle name="Uwaga 2 10 54 3" xfId="35990"/>
    <cellStyle name="Uwaga 2 10 55" xfId="35991"/>
    <cellStyle name="Uwaga 2 10 55 2" xfId="35992"/>
    <cellStyle name="Uwaga 2 10 55 3" xfId="35993"/>
    <cellStyle name="Uwaga 2 10 56" xfId="35994"/>
    <cellStyle name="Uwaga 2 10 56 2" xfId="35995"/>
    <cellStyle name="Uwaga 2 10 56 3" xfId="35996"/>
    <cellStyle name="Uwaga 2 10 57" xfId="35997"/>
    <cellStyle name="Uwaga 2 10 58" xfId="35998"/>
    <cellStyle name="Uwaga 2 10 6" xfId="35999"/>
    <cellStyle name="Uwaga 2 10 6 2" xfId="36000"/>
    <cellStyle name="Uwaga 2 10 6 3" xfId="36001"/>
    <cellStyle name="Uwaga 2 10 6 4" xfId="36002"/>
    <cellStyle name="Uwaga 2 10 7" xfId="36003"/>
    <cellStyle name="Uwaga 2 10 7 2" xfId="36004"/>
    <cellStyle name="Uwaga 2 10 7 3" xfId="36005"/>
    <cellStyle name="Uwaga 2 10 7 4" xfId="36006"/>
    <cellStyle name="Uwaga 2 10 8" xfId="36007"/>
    <cellStyle name="Uwaga 2 10 8 2" xfId="36008"/>
    <cellStyle name="Uwaga 2 10 8 3" xfId="36009"/>
    <cellStyle name="Uwaga 2 10 8 4" xfId="36010"/>
    <cellStyle name="Uwaga 2 10 9" xfId="36011"/>
    <cellStyle name="Uwaga 2 10 9 2" xfId="36012"/>
    <cellStyle name="Uwaga 2 10 9 3" xfId="36013"/>
    <cellStyle name="Uwaga 2 10 9 4" xfId="36014"/>
    <cellStyle name="Uwaga 2 11" xfId="36015"/>
    <cellStyle name="Uwaga 2 11 10" xfId="36016"/>
    <cellStyle name="Uwaga 2 11 10 2" xfId="36017"/>
    <cellStyle name="Uwaga 2 11 10 3" xfId="36018"/>
    <cellStyle name="Uwaga 2 11 10 4" xfId="36019"/>
    <cellStyle name="Uwaga 2 11 11" xfId="36020"/>
    <cellStyle name="Uwaga 2 11 11 2" xfId="36021"/>
    <cellStyle name="Uwaga 2 11 11 3" xfId="36022"/>
    <cellStyle name="Uwaga 2 11 11 4" xfId="36023"/>
    <cellStyle name="Uwaga 2 11 12" xfId="36024"/>
    <cellStyle name="Uwaga 2 11 12 2" xfId="36025"/>
    <cellStyle name="Uwaga 2 11 12 3" xfId="36026"/>
    <cellStyle name="Uwaga 2 11 12 4" xfId="36027"/>
    <cellStyle name="Uwaga 2 11 13" xfId="36028"/>
    <cellStyle name="Uwaga 2 11 13 2" xfId="36029"/>
    <cellStyle name="Uwaga 2 11 13 3" xfId="36030"/>
    <cellStyle name="Uwaga 2 11 13 4" xfId="36031"/>
    <cellStyle name="Uwaga 2 11 14" xfId="36032"/>
    <cellStyle name="Uwaga 2 11 14 2" xfId="36033"/>
    <cellStyle name="Uwaga 2 11 14 3" xfId="36034"/>
    <cellStyle name="Uwaga 2 11 14 4" xfId="36035"/>
    <cellStyle name="Uwaga 2 11 15" xfId="36036"/>
    <cellStyle name="Uwaga 2 11 15 2" xfId="36037"/>
    <cellStyle name="Uwaga 2 11 15 3" xfId="36038"/>
    <cellStyle name="Uwaga 2 11 15 4" xfId="36039"/>
    <cellStyle name="Uwaga 2 11 16" xfId="36040"/>
    <cellStyle name="Uwaga 2 11 16 2" xfId="36041"/>
    <cellStyle name="Uwaga 2 11 16 3" xfId="36042"/>
    <cellStyle name="Uwaga 2 11 16 4" xfId="36043"/>
    <cellStyle name="Uwaga 2 11 17" xfId="36044"/>
    <cellStyle name="Uwaga 2 11 17 2" xfId="36045"/>
    <cellStyle name="Uwaga 2 11 17 3" xfId="36046"/>
    <cellStyle name="Uwaga 2 11 17 4" xfId="36047"/>
    <cellStyle name="Uwaga 2 11 18" xfId="36048"/>
    <cellStyle name="Uwaga 2 11 18 2" xfId="36049"/>
    <cellStyle name="Uwaga 2 11 18 3" xfId="36050"/>
    <cellStyle name="Uwaga 2 11 18 4" xfId="36051"/>
    <cellStyle name="Uwaga 2 11 19" xfId="36052"/>
    <cellStyle name="Uwaga 2 11 19 2" xfId="36053"/>
    <cellStyle name="Uwaga 2 11 19 3" xfId="36054"/>
    <cellStyle name="Uwaga 2 11 19 4" xfId="36055"/>
    <cellStyle name="Uwaga 2 11 2" xfId="36056"/>
    <cellStyle name="Uwaga 2 11 2 2" xfId="36057"/>
    <cellStyle name="Uwaga 2 11 2 3" xfId="36058"/>
    <cellStyle name="Uwaga 2 11 2 4" xfId="36059"/>
    <cellStyle name="Uwaga 2 11 20" xfId="36060"/>
    <cellStyle name="Uwaga 2 11 20 2" xfId="36061"/>
    <cellStyle name="Uwaga 2 11 20 3" xfId="36062"/>
    <cellStyle name="Uwaga 2 11 20 4" xfId="36063"/>
    <cellStyle name="Uwaga 2 11 21" xfId="36064"/>
    <cellStyle name="Uwaga 2 11 21 2" xfId="36065"/>
    <cellStyle name="Uwaga 2 11 21 3" xfId="36066"/>
    <cellStyle name="Uwaga 2 11 22" xfId="36067"/>
    <cellStyle name="Uwaga 2 11 22 2" xfId="36068"/>
    <cellStyle name="Uwaga 2 11 22 3" xfId="36069"/>
    <cellStyle name="Uwaga 2 11 23" xfId="36070"/>
    <cellStyle name="Uwaga 2 11 23 2" xfId="36071"/>
    <cellStyle name="Uwaga 2 11 23 3" xfId="36072"/>
    <cellStyle name="Uwaga 2 11 24" xfId="36073"/>
    <cellStyle name="Uwaga 2 11 24 2" xfId="36074"/>
    <cellStyle name="Uwaga 2 11 24 3" xfId="36075"/>
    <cellStyle name="Uwaga 2 11 25" xfId="36076"/>
    <cellStyle name="Uwaga 2 11 25 2" xfId="36077"/>
    <cellStyle name="Uwaga 2 11 25 3" xfId="36078"/>
    <cellStyle name="Uwaga 2 11 26" xfId="36079"/>
    <cellStyle name="Uwaga 2 11 26 2" xfId="36080"/>
    <cellStyle name="Uwaga 2 11 26 3" xfId="36081"/>
    <cellStyle name="Uwaga 2 11 27" xfId="36082"/>
    <cellStyle name="Uwaga 2 11 27 2" xfId="36083"/>
    <cellStyle name="Uwaga 2 11 27 3" xfId="36084"/>
    <cellStyle name="Uwaga 2 11 28" xfId="36085"/>
    <cellStyle name="Uwaga 2 11 28 2" xfId="36086"/>
    <cellStyle name="Uwaga 2 11 28 3" xfId="36087"/>
    <cellStyle name="Uwaga 2 11 29" xfId="36088"/>
    <cellStyle name="Uwaga 2 11 29 2" xfId="36089"/>
    <cellStyle name="Uwaga 2 11 29 3" xfId="36090"/>
    <cellStyle name="Uwaga 2 11 3" xfId="36091"/>
    <cellStyle name="Uwaga 2 11 3 2" xfId="36092"/>
    <cellStyle name="Uwaga 2 11 3 3" xfId="36093"/>
    <cellStyle name="Uwaga 2 11 3 4" xfId="36094"/>
    <cellStyle name="Uwaga 2 11 30" xfId="36095"/>
    <cellStyle name="Uwaga 2 11 30 2" xfId="36096"/>
    <cellStyle name="Uwaga 2 11 30 3" xfId="36097"/>
    <cellStyle name="Uwaga 2 11 31" xfId="36098"/>
    <cellStyle name="Uwaga 2 11 31 2" xfId="36099"/>
    <cellStyle name="Uwaga 2 11 31 3" xfId="36100"/>
    <cellStyle name="Uwaga 2 11 32" xfId="36101"/>
    <cellStyle name="Uwaga 2 11 32 2" xfId="36102"/>
    <cellStyle name="Uwaga 2 11 32 3" xfId="36103"/>
    <cellStyle name="Uwaga 2 11 33" xfId="36104"/>
    <cellStyle name="Uwaga 2 11 33 2" xfId="36105"/>
    <cellStyle name="Uwaga 2 11 33 3" xfId="36106"/>
    <cellStyle name="Uwaga 2 11 34" xfId="36107"/>
    <cellStyle name="Uwaga 2 11 34 2" xfId="36108"/>
    <cellStyle name="Uwaga 2 11 34 3" xfId="36109"/>
    <cellStyle name="Uwaga 2 11 35" xfId="36110"/>
    <cellStyle name="Uwaga 2 11 35 2" xfId="36111"/>
    <cellStyle name="Uwaga 2 11 35 3" xfId="36112"/>
    <cellStyle name="Uwaga 2 11 36" xfId="36113"/>
    <cellStyle name="Uwaga 2 11 36 2" xfId="36114"/>
    <cellStyle name="Uwaga 2 11 36 3" xfId="36115"/>
    <cellStyle name="Uwaga 2 11 37" xfId="36116"/>
    <cellStyle name="Uwaga 2 11 37 2" xfId="36117"/>
    <cellStyle name="Uwaga 2 11 37 3" xfId="36118"/>
    <cellStyle name="Uwaga 2 11 38" xfId="36119"/>
    <cellStyle name="Uwaga 2 11 38 2" xfId="36120"/>
    <cellStyle name="Uwaga 2 11 38 3" xfId="36121"/>
    <cellStyle name="Uwaga 2 11 39" xfId="36122"/>
    <cellStyle name="Uwaga 2 11 39 2" xfId="36123"/>
    <cellStyle name="Uwaga 2 11 39 3" xfId="36124"/>
    <cellStyle name="Uwaga 2 11 4" xfId="36125"/>
    <cellStyle name="Uwaga 2 11 4 2" xfId="36126"/>
    <cellStyle name="Uwaga 2 11 4 3" xfId="36127"/>
    <cellStyle name="Uwaga 2 11 4 4" xfId="36128"/>
    <cellStyle name="Uwaga 2 11 40" xfId="36129"/>
    <cellStyle name="Uwaga 2 11 40 2" xfId="36130"/>
    <cellStyle name="Uwaga 2 11 40 3" xfId="36131"/>
    <cellStyle name="Uwaga 2 11 41" xfId="36132"/>
    <cellStyle name="Uwaga 2 11 41 2" xfId="36133"/>
    <cellStyle name="Uwaga 2 11 41 3" xfId="36134"/>
    <cellStyle name="Uwaga 2 11 42" xfId="36135"/>
    <cellStyle name="Uwaga 2 11 42 2" xfId="36136"/>
    <cellStyle name="Uwaga 2 11 42 3" xfId="36137"/>
    <cellStyle name="Uwaga 2 11 43" xfId="36138"/>
    <cellStyle name="Uwaga 2 11 43 2" xfId="36139"/>
    <cellStyle name="Uwaga 2 11 43 3" xfId="36140"/>
    <cellStyle name="Uwaga 2 11 44" xfId="36141"/>
    <cellStyle name="Uwaga 2 11 44 2" xfId="36142"/>
    <cellStyle name="Uwaga 2 11 44 3" xfId="36143"/>
    <cellStyle name="Uwaga 2 11 45" xfId="36144"/>
    <cellStyle name="Uwaga 2 11 45 2" xfId="36145"/>
    <cellStyle name="Uwaga 2 11 45 3" xfId="36146"/>
    <cellStyle name="Uwaga 2 11 46" xfId="36147"/>
    <cellStyle name="Uwaga 2 11 46 2" xfId="36148"/>
    <cellStyle name="Uwaga 2 11 46 3" xfId="36149"/>
    <cellStyle name="Uwaga 2 11 47" xfId="36150"/>
    <cellStyle name="Uwaga 2 11 47 2" xfId="36151"/>
    <cellStyle name="Uwaga 2 11 47 3" xfId="36152"/>
    <cellStyle name="Uwaga 2 11 48" xfId="36153"/>
    <cellStyle name="Uwaga 2 11 48 2" xfId="36154"/>
    <cellStyle name="Uwaga 2 11 48 3" xfId="36155"/>
    <cellStyle name="Uwaga 2 11 49" xfId="36156"/>
    <cellStyle name="Uwaga 2 11 49 2" xfId="36157"/>
    <cellStyle name="Uwaga 2 11 49 3" xfId="36158"/>
    <cellStyle name="Uwaga 2 11 5" xfId="36159"/>
    <cellStyle name="Uwaga 2 11 5 2" xfId="36160"/>
    <cellStyle name="Uwaga 2 11 5 3" xfId="36161"/>
    <cellStyle name="Uwaga 2 11 5 4" xfId="36162"/>
    <cellStyle name="Uwaga 2 11 50" xfId="36163"/>
    <cellStyle name="Uwaga 2 11 50 2" xfId="36164"/>
    <cellStyle name="Uwaga 2 11 50 3" xfId="36165"/>
    <cellStyle name="Uwaga 2 11 51" xfId="36166"/>
    <cellStyle name="Uwaga 2 11 51 2" xfId="36167"/>
    <cellStyle name="Uwaga 2 11 51 3" xfId="36168"/>
    <cellStyle name="Uwaga 2 11 52" xfId="36169"/>
    <cellStyle name="Uwaga 2 11 52 2" xfId="36170"/>
    <cellStyle name="Uwaga 2 11 52 3" xfId="36171"/>
    <cellStyle name="Uwaga 2 11 53" xfId="36172"/>
    <cellStyle name="Uwaga 2 11 53 2" xfId="36173"/>
    <cellStyle name="Uwaga 2 11 53 3" xfId="36174"/>
    <cellStyle name="Uwaga 2 11 54" xfId="36175"/>
    <cellStyle name="Uwaga 2 11 54 2" xfId="36176"/>
    <cellStyle name="Uwaga 2 11 54 3" xfId="36177"/>
    <cellStyle name="Uwaga 2 11 55" xfId="36178"/>
    <cellStyle name="Uwaga 2 11 55 2" xfId="36179"/>
    <cellStyle name="Uwaga 2 11 55 3" xfId="36180"/>
    <cellStyle name="Uwaga 2 11 56" xfId="36181"/>
    <cellStyle name="Uwaga 2 11 56 2" xfId="36182"/>
    <cellStyle name="Uwaga 2 11 56 3" xfId="36183"/>
    <cellStyle name="Uwaga 2 11 57" xfId="36184"/>
    <cellStyle name="Uwaga 2 11 58" xfId="36185"/>
    <cellStyle name="Uwaga 2 11 6" xfId="36186"/>
    <cellStyle name="Uwaga 2 11 6 2" xfId="36187"/>
    <cellStyle name="Uwaga 2 11 6 3" xfId="36188"/>
    <cellStyle name="Uwaga 2 11 6 4" xfId="36189"/>
    <cellStyle name="Uwaga 2 11 7" xfId="36190"/>
    <cellStyle name="Uwaga 2 11 7 2" xfId="36191"/>
    <cellStyle name="Uwaga 2 11 7 3" xfId="36192"/>
    <cellStyle name="Uwaga 2 11 7 4" xfId="36193"/>
    <cellStyle name="Uwaga 2 11 8" xfId="36194"/>
    <cellStyle name="Uwaga 2 11 8 2" xfId="36195"/>
    <cellStyle name="Uwaga 2 11 8 3" xfId="36196"/>
    <cellStyle name="Uwaga 2 11 8 4" xfId="36197"/>
    <cellStyle name="Uwaga 2 11 9" xfId="36198"/>
    <cellStyle name="Uwaga 2 11 9 2" xfId="36199"/>
    <cellStyle name="Uwaga 2 11 9 3" xfId="36200"/>
    <cellStyle name="Uwaga 2 11 9 4" xfId="36201"/>
    <cellStyle name="Uwaga 2 12" xfId="36202"/>
    <cellStyle name="Uwaga 2 12 10" xfId="36203"/>
    <cellStyle name="Uwaga 2 12 10 2" xfId="36204"/>
    <cellStyle name="Uwaga 2 12 10 3" xfId="36205"/>
    <cellStyle name="Uwaga 2 12 10 4" xfId="36206"/>
    <cellStyle name="Uwaga 2 12 11" xfId="36207"/>
    <cellStyle name="Uwaga 2 12 11 2" xfId="36208"/>
    <cellStyle name="Uwaga 2 12 11 3" xfId="36209"/>
    <cellStyle name="Uwaga 2 12 11 4" xfId="36210"/>
    <cellStyle name="Uwaga 2 12 12" xfId="36211"/>
    <cellStyle name="Uwaga 2 12 12 2" xfId="36212"/>
    <cellStyle name="Uwaga 2 12 12 3" xfId="36213"/>
    <cellStyle name="Uwaga 2 12 12 4" xfId="36214"/>
    <cellStyle name="Uwaga 2 12 13" xfId="36215"/>
    <cellStyle name="Uwaga 2 12 13 2" xfId="36216"/>
    <cellStyle name="Uwaga 2 12 13 3" xfId="36217"/>
    <cellStyle name="Uwaga 2 12 13 4" xfId="36218"/>
    <cellStyle name="Uwaga 2 12 14" xfId="36219"/>
    <cellStyle name="Uwaga 2 12 14 2" xfId="36220"/>
    <cellStyle name="Uwaga 2 12 14 3" xfId="36221"/>
    <cellStyle name="Uwaga 2 12 14 4" xfId="36222"/>
    <cellStyle name="Uwaga 2 12 15" xfId="36223"/>
    <cellStyle name="Uwaga 2 12 15 2" xfId="36224"/>
    <cellStyle name="Uwaga 2 12 15 3" xfId="36225"/>
    <cellStyle name="Uwaga 2 12 15 4" xfId="36226"/>
    <cellStyle name="Uwaga 2 12 16" xfId="36227"/>
    <cellStyle name="Uwaga 2 12 16 2" xfId="36228"/>
    <cellStyle name="Uwaga 2 12 16 3" xfId="36229"/>
    <cellStyle name="Uwaga 2 12 16 4" xfId="36230"/>
    <cellStyle name="Uwaga 2 12 17" xfId="36231"/>
    <cellStyle name="Uwaga 2 12 17 2" xfId="36232"/>
    <cellStyle name="Uwaga 2 12 17 3" xfId="36233"/>
    <cellStyle name="Uwaga 2 12 17 4" xfId="36234"/>
    <cellStyle name="Uwaga 2 12 18" xfId="36235"/>
    <cellStyle name="Uwaga 2 12 18 2" xfId="36236"/>
    <cellStyle name="Uwaga 2 12 18 3" xfId="36237"/>
    <cellStyle name="Uwaga 2 12 18 4" xfId="36238"/>
    <cellStyle name="Uwaga 2 12 19" xfId="36239"/>
    <cellStyle name="Uwaga 2 12 19 2" xfId="36240"/>
    <cellStyle name="Uwaga 2 12 19 3" xfId="36241"/>
    <cellStyle name="Uwaga 2 12 19 4" xfId="36242"/>
    <cellStyle name="Uwaga 2 12 2" xfId="36243"/>
    <cellStyle name="Uwaga 2 12 2 2" xfId="36244"/>
    <cellStyle name="Uwaga 2 12 2 3" xfId="36245"/>
    <cellStyle name="Uwaga 2 12 2 4" xfId="36246"/>
    <cellStyle name="Uwaga 2 12 20" xfId="36247"/>
    <cellStyle name="Uwaga 2 12 20 2" xfId="36248"/>
    <cellStyle name="Uwaga 2 12 20 3" xfId="36249"/>
    <cellStyle name="Uwaga 2 12 20 4" xfId="36250"/>
    <cellStyle name="Uwaga 2 12 21" xfId="36251"/>
    <cellStyle name="Uwaga 2 12 21 2" xfId="36252"/>
    <cellStyle name="Uwaga 2 12 21 3" xfId="36253"/>
    <cellStyle name="Uwaga 2 12 22" xfId="36254"/>
    <cellStyle name="Uwaga 2 12 22 2" xfId="36255"/>
    <cellStyle name="Uwaga 2 12 22 3" xfId="36256"/>
    <cellStyle name="Uwaga 2 12 23" xfId="36257"/>
    <cellStyle name="Uwaga 2 12 23 2" xfId="36258"/>
    <cellStyle name="Uwaga 2 12 23 3" xfId="36259"/>
    <cellStyle name="Uwaga 2 12 24" xfId="36260"/>
    <cellStyle name="Uwaga 2 12 24 2" xfId="36261"/>
    <cellStyle name="Uwaga 2 12 24 3" xfId="36262"/>
    <cellStyle name="Uwaga 2 12 25" xfId="36263"/>
    <cellStyle name="Uwaga 2 12 25 2" xfId="36264"/>
    <cellStyle name="Uwaga 2 12 25 3" xfId="36265"/>
    <cellStyle name="Uwaga 2 12 26" xfId="36266"/>
    <cellStyle name="Uwaga 2 12 26 2" xfId="36267"/>
    <cellStyle name="Uwaga 2 12 26 3" xfId="36268"/>
    <cellStyle name="Uwaga 2 12 27" xfId="36269"/>
    <cellStyle name="Uwaga 2 12 27 2" xfId="36270"/>
    <cellStyle name="Uwaga 2 12 27 3" xfId="36271"/>
    <cellStyle name="Uwaga 2 12 28" xfId="36272"/>
    <cellStyle name="Uwaga 2 12 28 2" xfId="36273"/>
    <cellStyle name="Uwaga 2 12 28 3" xfId="36274"/>
    <cellStyle name="Uwaga 2 12 29" xfId="36275"/>
    <cellStyle name="Uwaga 2 12 29 2" xfId="36276"/>
    <cellStyle name="Uwaga 2 12 29 3" xfId="36277"/>
    <cellStyle name="Uwaga 2 12 3" xfId="36278"/>
    <cellStyle name="Uwaga 2 12 3 2" xfId="36279"/>
    <cellStyle name="Uwaga 2 12 3 3" xfId="36280"/>
    <cellStyle name="Uwaga 2 12 3 4" xfId="36281"/>
    <cellStyle name="Uwaga 2 12 30" xfId="36282"/>
    <cellStyle name="Uwaga 2 12 30 2" xfId="36283"/>
    <cellStyle name="Uwaga 2 12 30 3" xfId="36284"/>
    <cellStyle name="Uwaga 2 12 31" xfId="36285"/>
    <cellStyle name="Uwaga 2 12 31 2" xfId="36286"/>
    <cellStyle name="Uwaga 2 12 31 3" xfId="36287"/>
    <cellStyle name="Uwaga 2 12 32" xfId="36288"/>
    <cellStyle name="Uwaga 2 12 32 2" xfId="36289"/>
    <cellStyle name="Uwaga 2 12 32 3" xfId="36290"/>
    <cellStyle name="Uwaga 2 12 33" xfId="36291"/>
    <cellStyle name="Uwaga 2 12 33 2" xfId="36292"/>
    <cellStyle name="Uwaga 2 12 33 3" xfId="36293"/>
    <cellStyle name="Uwaga 2 12 34" xfId="36294"/>
    <cellStyle name="Uwaga 2 12 34 2" xfId="36295"/>
    <cellStyle name="Uwaga 2 12 34 3" xfId="36296"/>
    <cellStyle name="Uwaga 2 12 35" xfId="36297"/>
    <cellStyle name="Uwaga 2 12 35 2" xfId="36298"/>
    <cellStyle name="Uwaga 2 12 35 3" xfId="36299"/>
    <cellStyle name="Uwaga 2 12 36" xfId="36300"/>
    <cellStyle name="Uwaga 2 12 36 2" xfId="36301"/>
    <cellStyle name="Uwaga 2 12 36 3" xfId="36302"/>
    <cellStyle name="Uwaga 2 12 37" xfId="36303"/>
    <cellStyle name="Uwaga 2 12 37 2" xfId="36304"/>
    <cellStyle name="Uwaga 2 12 37 3" xfId="36305"/>
    <cellStyle name="Uwaga 2 12 38" xfId="36306"/>
    <cellStyle name="Uwaga 2 12 38 2" xfId="36307"/>
    <cellStyle name="Uwaga 2 12 38 3" xfId="36308"/>
    <cellStyle name="Uwaga 2 12 39" xfId="36309"/>
    <cellStyle name="Uwaga 2 12 39 2" xfId="36310"/>
    <cellStyle name="Uwaga 2 12 39 3" xfId="36311"/>
    <cellStyle name="Uwaga 2 12 4" xfId="36312"/>
    <cellStyle name="Uwaga 2 12 4 2" xfId="36313"/>
    <cellStyle name="Uwaga 2 12 4 3" xfId="36314"/>
    <cellStyle name="Uwaga 2 12 4 4" xfId="36315"/>
    <cellStyle name="Uwaga 2 12 40" xfId="36316"/>
    <cellStyle name="Uwaga 2 12 40 2" xfId="36317"/>
    <cellStyle name="Uwaga 2 12 40 3" xfId="36318"/>
    <cellStyle name="Uwaga 2 12 41" xfId="36319"/>
    <cellStyle name="Uwaga 2 12 41 2" xfId="36320"/>
    <cellStyle name="Uwaga 2 12 41 3" xfId="36321"/>
    <cellStyle name="Uwaga 2 12 42" xfId="36322"/>
    <cellStyle name="Uwaga 2 12 42 2" xfId="36323"/>
    <cellStyle name="Uwaga 2 12 42 3" xfId="36324"/>
    <cellStyle name="Uwaga 2 12 43" xfId="36325"/>
    <cellStyle name="Uwaga 2 12 43 2" xfId="36326"/>
    <cellStyle name="Uwaga 2 12 43 3" xfId="36327"/>
    <cellStyle name="Uwaga 2 12 44" xfId="36328"/>
    <cellStyle name="Uwaga 2 12 44 2" xfId="36329"/>
    <cellStyle name="Uwaga 2 12 44 3" xfId="36330"/>
    <cellStyle name="Uwaga 2 12 45" xfId="36331"/>
    <cellStyle name="Uwaga 2 12 45 2" xfId="36332"/>
    <cellStyle name="Uwaga 2 12 45 3" xfId="36333"/>
    <cellStyle name="Uwaga 2 12 46" xfId="36334"/>
    <cellStyle name="Uwaga 2 12 46 2" xfId="36335"/>
    <cellStyle name="Uwaga 2 12 46 3" xfId="36336"/>
    <cellStyle name="Uwaga 2 12 47" xfId="36337"/>
    <cellStyle name="Uwaga 2 12 47 2" xfId="36338"/>
    <cellStyle name="Uwaga 2 12 47 3" xfId="36339"/>
    <cellStyle name="Uwaga 2 12 48" xfId="36340"/>
    <cellStyle name="Uwaga 2 12 48 2" xfId="36341"/>
    <cellStyle name="Uwaga 2 12 48 3" xfId="36342"/>
    <cellStyle name="Uwaga 2 12 49" xfId="36343"/>
    <cellStyle name="Uwaga 2 12 49 2" xfId="36344"/>
    <cellStyle name="Uwaga 2 12 49 3" xfId="36345"/>
    <cellStyle name="Uwaga 2 12 5" xfId="36346"/>
    <cellStyle name="Uwaga 2 12 5 2" xfId="36347"/>
    <cellStyle name="Uwaga 2 12 5 3" xfId="36348"/>
    <cellStyle name="Uwaga 2 12 5 4" xfId="36349"/>
    <cellStyle name="Uwaga 2 12 50" xfId="36350"/>
    <cellStyle name="Uwaga 2 12 50 2" xfId="36351"/>
    <cellStyle name="Uwaga 2 12 50 3" xfId="36352"/>
    <cellStyle name="Uwaga 2 12 51" xfId="36353"/>
    <cellStyle name="Uwaga 2 12 51 2" xfId="36354"/>
    <cellStyle name="Uwaga 2 12 51 3" xfId="36355"/>
    <cellStyle name="Uwaga 2 12 52" xfId="36356"/>
    <cellStyle name="Uwaga 2 12 52 2" xfId="36357"/>
    <cellStyle name="Uwaga 2 12 52 3" xfId="36358"/>
    <cellStyle name="Uwaga 2 12 53" xfId="36359"/>
    <cellStyle name="Uwaga 2 12 53 2" xfId="36360"/>
    <cellStyle name="Uwaga 2 12 53 3" xfId="36361"/>
    <cellStyle name="Uwaga 2 12 54" xfId="36362"/>
    <cellStyle name="Uwaga 2 12 54 2" xfId="36363"/>
    <cellStyle name="Uwaga 2 12 54 3" xfId="36364"/>
    <cellStyle name="Uwaga 2 12 55" xfId="36365"/>
    <cellStyle name="Uwaga 2 12 55 2" xfId="36366"/>
    <cellStyle name="Uwaga 2 12 55 3" xfId="36367"/>
    <cellStyle name="Uwaga 2 12 56" xfId="36368"/>
    <cellStyle name="Uwaga 2 12 56 2" xfId="36369"/>
    <cellStyle name="Uwaga 2 12 56 3" xfId="36370"/>
    <cellStyle name="Uwaga 2 12 57" xfId="36371"/>
    <cellStyle name="Uwaga 2 12 58" xfId="36372"/>
    <cellStyle name="Uwaga 2 12 6" xfId="36373"/>
    <cellStyle name="Uwaga 2 12 6 2" xfId="36374"/>
    <cellStyle name="Uwaga 2 12 6 3" xfId="36375"/>
    <cellStyle name="Uwaga 2 12 6 4" xfId="36376"/>
    <cellStyle name="Uwaga 2 12 7" xfId="36377"/>
    <cellStyle name="Uwaga 2 12 7 2" xfId="36378"/>
    <cellStyle name="Uwaga 2 12 7 3" xfId="36379"/>
    <cellStyle name="Uwaga 2 12 7 4" xfId="36380"/>
    <cellStyle name="Uwaga 2 12 8" xfId="36381"/>
    <cellStyle name="Uwaga 2 12 8 2" xfId="36382"/>
    <cellStyle name="Uwaga 2 12 8 3" xfId="36383"/>
    <cellStyle name="Uwaga 2 12 8 4" xfId="36384"/>
    <cellStyle name="Uwaga 2 12 9" xfId="36385"/>
    <cellStyle name="Uwaga 2 12 9 2" xfId="36386"/>
    <cellStyle name="Uwaga 2 12 9 3" xfId="36387"/>
    <cellStyle name="Uwaga 2 12 9 4" xfId="36388"/>
    <cellStyle name="Uwaga 2 13" xfId="36389"/>
    <cellStyle name="Uwaga 2 13 10" xfId="36390"/>
    <cellStyle name="Uwaga 2 13 10 2" xfId="36391"/>
    <cellStyle name="Uwaga 2 13 10 3" xfId="36392"/>
    <cellStyle name="Uwaga 2 13 10 4" xfId="36393"/>
    <cellStyle name="Uwaga 2 13 11" xfId="36394"/>
    <cellStyle name="Uwaga 2 13 11 2" xfId="36395"/>
    <cellStyle name="Uwaga 2 13 11 3" xfId="36396"/>
    <cellStyle name="Uwaga 2 13 11 4" xfId="36397"/>
    <cellStyle name="Uwaga 2 13 12" xfId="36398"/>
    <cellStyle name="Uwaga 2 13 12 2" xfId="36399"/>
    <cellStyle name="Uwaga 2 13 12 3" xfId="36400"/>
    <cellStyle name="Uwaga 2 13 12 4" xfId="36401"/>
    <cellStyle name="Uwaga 2 13 13" xfId="36402"/>
    <cellStyle name="Uwaga 2 13 13 2" xfId="36403"/>
    <cellStyle name="Uwaga 2 13 13 3" xfId="36404"/>
    <cellStyle name="Uwaga 2 13 13 4" xfId="36405"/>
    <cellStyle name="Uwaga 2 13 14" xfId="36406"/>
    <cellStyle name="Uwaga 2 13 14 2" xfId="36407"/>
    <cellStyle name="Uwaga 2 13 14 3" xfId="36408"/>
    <cellStyle name="Uwaga 2 13 14 4" xfId="36409"/>
    <cellStyle name="Uwaga 2 13 15" xfId="36410"/>
    <cellStyle name="Uwaga 2 13 15 2" xfId="36411"/>
    <cellStyle name="Uwaga 2 13 15 3" xfId="36412"/>
    <cellStyle name="Uwaga 2 13 15 4" xfId="36413"/>
    <cellStyle name="Uwaga 2 13 16" xfId="36414"/>
    <cellStyle name="Uwaga 2 13 16 2" xfId="36415"/>
    <cellStyle name="Uwaga 2 13 16 3" xfId="36416"/>
    <cellStyle name="Uwaga 2 13 16 4" xfId="36417"/>
    <cellStyle name="Uwaga 2 13 17" xfId="36418"/>
    <cellStyle name="Uwaga 2 13 17 2" xfId="36419"/>
    <cellStyle name="Uwaga 2 13 17 3" xfId="36420"/>
    <cellStyle name="Uwaga 2 13 17 4" xfId="36421"/>
    <cellStyle name="Uwaga 2 13 18" xfId="36422"/>
    <cellStyle name="Uwaga 2 13 18 2" xfId="36423"/>
    <cellStyle name="Uwaga 2 13 18 3" xfId="36424"/>
    <cellStyle name="Uwaga 2 13 18 4" xfId="36425"/>
    <cellStyle name="Uwaga 2 13 19" xfId="36426"/>
    <cellStyle name="Uwaga 2 13 19 2" xfId="36427"/>
    <cellStyle name="Uwaga 2 13 19 3" xfId="36428"/>
    <cellStyle name="Uwaga 2 13 19 4" xfId="36429"/>
    <cellStyle name="Uwaga 2 13 2" xfId="36430"/>
    <cellStyle name="Uwaga 2 13 2 2" xfId="36431"/>
    <cellStyle name="Uwaga 2 13 2 3" xfId="36432"/>
    <cellStyle name="Uwaga 2 13 2 4" xfId="36433"/>
    <cellStyle name="Uwaga 2 13 20" xfId="36434"/>
    <cellStyle name="Uwaga 2 13 20 2" xfId="36435"/>
    <cellStyle name="Uwaga 2 13 20 3" xfId="36436"/>
    <cellStyle name="Uwaga 2 13 20 4" xfId="36437"/>
    <cellStyle name="Uwaga 2 13 21" xfId="36438"/>
    <cellStyle name="Uwaga 2 13 21 2" xfId="36439"/>
    <cellStyle name="Uwaga 2 13 21 3" xfId="36440"/>
    <cellStyle name="Uwaga 2 13 22" xfId="36441"/>
    <cellStyle name="Uwaga 2 13 22 2" xfId="36442"/>
    <cellStyle name="Uwaga 2 13 22 3" xfId="36443"/>
    <cellStyle name="Uwaga 2 13 23" xfId="36444"/>
    <cellStyle name="Uwaga 2 13 23 2" xfId="36445"/>
    <cellStyle name="Uwaga 2 13 23 3" xfId="36446"/>
    <cellStyle name="Uwaga 2 13 24" xfId="36447"/>
    <cellStyle name="Uwaga 2 13 24 2" xfId="36448"/>
    <cellStyle name="Uwaga 2 13 24 3" xfId="36449"/>
    <cellStyle name="Uwaga 2 13 25" xfId="36450"/>
    <cellStyle name="Uwaga 2 13 25 2" xfId="36451"/>
    <cellStyle name="Uwaga 2 13 25 3" xfId="36452"/>
    <cellStyle name="Uwaga 2 13 26" xfId="36453"/>
    <cellStyle name="Uwaga 2 13 26 2" xfId="36454"/>
    <cellStyle name="Uwaga 2 13 26 3" xfId="36455"/>
    <cellStyle name="Uwaga 2 13 27" xfId="36456"/>
    <cellStyle name="Uwaga 2 13 27 2" xfId="36457"/>
    <cellStyle name="Uwaga 2 13 27 3" xfId="36458"/>
    <cellStyle name="Uwaga 2 13 28" xfId="36459"/>
    <cellStyle name="Uwaga 2 13 28 2" xfId="36460"/>
    <cellStyle name="Uwaga 2 13 28 3" xfId="36461"/>
    <cellStyle name="Uwaga 2 13 29" xfId="36462"/>
    <cellStyle name="Uwaga 2 13 29 2" xfId="36463"/>
    <cellStyle name="Uwaga 2 13 29 3" xfId="36464"/>
    <cellStyle name="Uwaga 2 13 3" xfId="36465"/>
    <cellStyle name="Uwaga 2 13 3 2" xfId="36466"/>
    <cellStyle name="Uwaga 2 13 3 3" xfId="36467"/>
    <cellStyle name="Uwaga 2 13 3 4" xfId="36468"/>
    <cellStyle name="Uwaga 2 13 30" xfId="36469"/>
    <cellStyle name="Uwaga 2 13 30 2" xfId="36470"/>
    <cellStyle name="Uwaga 2 13 30 3" xfId="36471"/>
    <cellStyle name="Uwaga 2 13 31" xfId="36472"/>
    <cellStyle name="Uwaga 2 13 31 2" xfId="36473"/>
    <cellStyle name="Uwaga 2 13 31 3" xfId="36474"/>
    <cellStyle name="Uwaga 2 13 32" xfId="36475"/>
    <cellStyle name="Uwaga 2 13 32 2" xfId="36476"/>
    <cellStyle name="Uwaga 2 13 32 3" xfId="36477"/>
    <cellStyle name="Uwaga 2 13 33" xfId="36478"/>
    <cellStyle name="Uwaga 2 13 33 2" xfId="36479"/>
    <cellStyle name="Uwaga 2 13 33 3" xfId="36480"/>
    <cellStyle name="Uwaga 2 13 34" xfId="36481"/>
    <cellStyle name="Uwaga 2 13 34 2" xfId="36482"/>
    <cellStyle name="Uwaga 2 13 34 3" xfId="36483"/>
    <cellStyle name="Uwaga 2 13 35" xfId="36484"/>
    <cellStyle name="Uwaga 2 13 35 2" xfId="36485"/>
    <cellStyle name="Uwaga 2 13 35 3" xfId="36486"/>
    <cellStyle name="Uwaga 2 13 36" xfId="36487"/>
    <cellStyle name="Uwaga 2 13 36 2" xfId="36488"/>
    <cellStyle name="Uwaga 2 13 36 3" xfId="36489"/>
    <cellStyle name="Uwaga 2 13 37" xfId="36490"/>
    <cellStyle name="Uwaga 2 13 37 2" xfId="36491"/>
    <cellStyle name="Uwaga 2 13 37 3" xfId="36492"/>
    <cellStyle name="Uwaga 2 13 38" xfId="36493"/>
    <cellStyle name="Uwaga 2 13 38 2" xfId="36494"/>
    <cellStyle name="Uwaga 2 13 38 3" xfId="36495"/>
    <cellStyle name="Uwaga 2 13 39" xfId="36496"/>
    <cellStyle name="Uwaga 2 13 39 2" xfId="36497"/>
    <cellStyle name="Uwaga 2 13 39 3" xfId="36498"/>
    <cellStyle name="Uwaga 2 13 4" xfId="36499"/>
    <cellStyle name="Uwaga 2 13 4 2" xfId="36500"/>
    <cellStyle name="Uwaga 2 13 4 3" xfId="36501"/>
    <cellStyle name="Uwaga 2 13 4 4" xfId="36502"/>
    <cellStyle name="Uwaga 2 13 40" xfId="36503"/>
    <cellStyle name="Uwaga 2 13 40 2" xfId="36504"/>
    <cellStyle name="Uwaga 2 13 40 3" xfId="36505"/>
    <cellStyle name="Uwaga 2 13 41" xfId="36506"/>
    <cellStyle name="Uwaga 2 13 41 2" xfId="36507"/>
    <cellStyle name="Uwaga 2 13 41 3" xfId="36508"/>
    <cellStyle name="Uwaga 2 13 42" xfId="36509"/>
    <cellStyle name="Uwaga 2 13 42 2" xfId="36510"/>
    <cellStyle name="Uwaga 2 13 42 3" xfId="36511"/>
    <cellStyle name="Uwaga 2 13 43" xfId="36512"/>
    <cellStyle name="Uwaga 2 13 43 2" xfId="36513"/>
    <cellStyle name="Uwaga 2 13 43 3" xfId="36514"/>
    <cellStyle name="Uwaga 2 13 44" xfId="36515"/>
    <cellStyle name="Uwaga 2 13 44 2" xfId="36516"/>
    <cellStyle name="Uwaga 2 13 44 3" xfId="36517"/>
    <cellStyle name="Uwaga 2 13 45" xfId="36518"/>
    <cellStyle name="Uwaga 2 13 45 2" xfId="36519"/>
    <cellStyle name="Uwaga 2 13 45 3" xfId="36520"/>
    <cellStyle name="Uwaga 2 13 46" xfId="36521"/>
    <cellStyle name="Uwaga 2 13 46 2" xfId="36522"/>
    <cellStyle name="Uwaga 2 13 46 3" xfId="36523"/>
    <cellStyle name="Uwaga 2 13 47" xfId="36524"/>
    <cellStyle name="Uwaga 2 13 47 2" xfId="36525"/>
    <cellStyle name="Uwaga 2 13 47 3" xfId="36526"/>
    <cellStyle name="Uwaga 2 13 48" xfId="36527"/>
    <cellStyle name="Uwaga 2 13 48 2" xfId="36528"/>
    <cellStyle name="Uwaga 2 13 48 3" xfId="36529"/>
    <cellStyle name="Uwaga 2 13 49" xfId="36530"/>
    <cellStyle name="Uwaga 2 13 49 2" xfId="36531"/>
    <cellStyle name="Uwaga 2 13 49 3" xfId="36532"/>
    <cellStyle name="Uwaga 2 13 5" xfId="36533"/>
    <cellStyle name="Uwaga 2 13 5 2" xfId="36534"/>
    <cellStyle name="Uwaga 2 13 5 3" xfId="36535"/>
    <cellStyle name="Uwaga 2 13 5 4" xfId="36536"/>
    <cellStyle name="Uwaga 2 13 50" xfId="36537"/>
    <cellStyle name="Uwaga 2 13 50 2" xfId="36538"/>
    <cellStyle name="Uwaga 2 13 50 3" xfId="36539"/>
    <cellStyle name="Uwaga 2 13 51" xfId="36540"/>
    <cellStyle name="Uwaga 2 13 51 2" xfId="36541"/>
    <cellStyle name="Uwaga 2 13 51 3" xfId="36542"/>
    <cellStyle name="Uwaga 2 13 52" xfId="36543"/>
    <cellStyle name="Uwaga 2 13 52 2" xfId="36544"/>
    <cellStyle name="Uwaga 2 13 52 3" xfId="36545"/>
    <cellStyle name="Uwaga 2 13 53" xfId="36546"/>
    <cellStyle name="Uwaga 2 13 53 2" xfId="36547"/>
    <cellStyle name="Uwaga 2 13 53 3" xfId="36548"/>
    <cellStyle name="Uwaga 2 13 54" xfId="36549"/>
    <cellStyle name="Uwaga 2 13 54 2" xfId="36550"/>
    <cellStyle name="Uwaga 2 13 54 3" xfId="36551"/>
    <cellStyle name="Uwaga 2 13 55" xfId="36552"/>
    <cellStyle name="Uwaga 2 13 55 2" xfId="36553"/>
    <cellStyle name="Uwaga 2 13 55 3" xfId="36554"/>
    <cellStyle name="Uwaga 2 13 56" xfId="36555"/>
    <cellStyle name="Uwaga 2 13 56 2" xfId="36556"/>
    <cellStyle name="Uwaga 2 13 56 3" xfId="36557"/>
    <cellStyle name="Uwaga 2 13 57" xfId="36558"/>
    <cellStyle name="Uwaga 2 13 58" xfId="36559"/>
    <cellStyle name="Uwaga 2 13 6" xfId="36560"/>
    <cellStyle name="Uwaga 2 13 6 2" xfId="36561"/>
    <cellStyle name="Uwaga 2 13 6 3" xfId="36562"/>
    <cellStyle name="Uwaga 2 13 6 4" xfId="36563"/>
    <cellStyle name="Uwaga 2 13 7" xfId="36564"/>
    <cellStyle name="Uwaga 2 13 7 2" xfId="36565"/>
    <cellStyle name="Uwaga 2 13 7 3" xfId="36566"/>
    <cellStyle name="Uwaga 2 13 7 4" xfId="36567"/>
    <cellStyle name="Uwaga 2 13 8" xfId="36568"/>
    <cellStyle name="Uwaga 2 13 8 2" xfId="36569"/>
    <cellStyle name="Uwaga 2 13 8 3" xfId="36570"/>
    <cellStyle name="Uwaga 2 13 8 4" xfId="36571"/>
    <cellStyle name="Uwaga 2 13 9" xfId="36572"/>
    <cellStyle name="Uwaga 2 13 9 2" xfId="36573"/>
    <cellStyle name="Uwaga 2 13 9 3" xfId="36574"/>
    <cellStyle name="Uwaga 2 13 9 4" xfId="36575"/>
    <cellStyle name="Uwaga 2 14" xfId="36576"/>
    <cellStyle name="Uwaga 2 14 10" xfId="36577"/>
    <cellStyle name="Uwaga 2 14 10 2" xfId="36578"/>
    <cellStyle name="Uwaga 2 14 10 3" xfId="36579"/>
    <cellStyle name="Uwaga 2 14 10 4" xfId="36580"/>
    <cellStyle name="Uwaga 2 14 11" xfId="36581"/>
    <cellStyle name="Uwaga 2 14 11 2" xfId="36582"/>
    <cellStyle name="Uwaga 2 14 11 3" xfId="36583"/>
    <cellStyle name="Uwaga 2 14 11 4" xfId="36584"/>
    <cellStyle name="Uwaga 2 14 12" xfId="36585"/>
    <cellStyle name="Uwaga 2 14 12 2" xfId="36586"/>
    <cellStyle name="Uwaga 2 14 12 3" xfId="36587"/>
    <cellStyle name="Uwaga 2 14 12 4" xfId="36588"/>
    <cellStyle name="Uwaga 2 14 13" xfId="36589"/>
    <cellStyle name="Uwaga 2 14 13 2" xfId="36590"/>
    <cellStyle name="Uwaga 2 14 13 3" xfId="36591"/>
    <cellStyle name="Uwaga 2 14 13 4" xfId="36592"/>
    <cellStyle name="Uwaga 2 14 14" xfId="36593"/>
    <cellStyle name="Uwaga 2 14 14 2" xfId="36594"/>
    <cellStyle name="Uwaga 2 14 14 3" xfId="36595"/>
    <cellStyle name="Uwaga 2 14 14 4" xfId="36596"/>
    <cellStyle name="Uwaga 2 14 15" xfId="36597"/>
    <cellStyle name="Uwaga 2 14 15 2" xfId="36598"/>
    <cellStyle name="Uwaga 2 14 15 3" xfId="36599"/>
    <cellStyle name="Uwaga 2 14 15 4" xfId="36600"/>
    <cellStyle name="Uwaga 2 14 16" xfId="36601"/>
    <cellStyle name="Uwaga 2 14 16 2" xfId="36602"/>
    <cellStyle name="Uwaga 2 14 16 3" xfId="36603"/>
    <cellStyle name="Uwaga 2 14 16 4" xfId="36604"/>
    <cellStyle name="Uwaga 2 14 17" xfId="36605"/>
    <cellStyle name="Uwaga 2 14 17 2" xfId="36606"/>
    <cellStyle name="Uwaga 2 14 17 3" xfId="36607"/>
    <cellStyle name="Uwaga 2 14 17 4" xfId="36608"/>
    <cellStyle name="Uwaga 2 14 18" xfId="36609"/>
    <cellStyle name="Uwaga 2 14 18 2" xfId="36610"/>
    <cellStyle name="Uwaga 2 14 18 3" xfId="36611"/>
    <cellStyle name="Uwaga 2 14 18 4" xfId="36612"/>
    <cellStyle name="Uwaga 2 14 19" xfId="36613"/>
    <cellStyle name="Uwaga 2 14 19 2" xfId="36614"/>
    <cellStyle name="Uwaga 2 14 19 3" xfId="36615"/>
    <cellStyle name="Uwaga 2 14 19 4" xfId="36616"/>
    <cellStyle name="Uwaga 2 14 2" xfId="36617"/>
    <cellStyle name="Uwaga 2 14 2 2" xfId="36618"/>
    <cellStyle name="Uwaga 2 14 2 3" xfId="36619"/>
    <cellStyle name="Uwaga 2 14 2 4" xfId="36620"/>
    <cellStyle name="Uwaga 2 14 20" xfId="36621"/>
    <cellStyle name="Uwaga 2 14 20 2" xfId="36622"/>
    <cellStyle name="Uwaga 2 14 20 3" xfId="36623"/>
    <cellStyle name="Uwaga 2 14 20 4" xfId="36624"/>
    <cellStyle name="Uwaga 2 14 21" xfId="36625"/>
    <cellStyle name="Uwaga 2 14 21 2" xfId="36626"/>
    <cellStyle name="Uwaga 2 14 21 3" xfId="36627"/>
    <cellStyle name="Uwaga 2 14 22" xfId="36628"/>
    <cellStyle name="Uwaga 2 14 22 2" xfId="36629"/>
    <cellStyle name="Uwaga 2 14 22 3" xfId="36630"/>
    <cellStyle name="Uwaga 2 14 23" xfId="36631"/>
    <cellStyle name="Uwaga 2 14 23 2" xfId="36632"/>
    <cellStyle name="Uwaga 2 14 23 3" xfId="36633"/>
    <cellStyle name="Uwaga 2 14 24" xfId="36634"/>
    <cellStyle name="Uwaga 2 14 24 2" xfId="36635"/>
    <cellStyle name="Uwaga 2 14 24 3" xfId="36636"/>
    <cellStyle name="Uwaga 2 14 25" xfId="36637"/>
    <cellStyle name="Uwaga 2 14 25 2" xfId="36638"/>
    <cellStyle name="Uwaga 2 14 25 3" xfId="36639"/>
    <cellStyle name="Uwaga 2 14 26" xfId="36640"/>
    <cellStyle name="Uwaga 2 14 26 2" xfId="36641"/>
    <cellStyle name="Uwaga 2 14 26 3" xfId="36642"/>
    <cellStyle name="Uwaga 2 14 27" xfId="36643"/>
    <cellStyle name="Uwaga 2 14 27 2" xfId="36644"/>
    <cellStyle name="Uwaga 2 14 27 3" xfId="36645"/>
    <cellStyle name="Uwaga 2 14 28" xfId="36646"/>
    <cellStyle name="Uwaga 2 14 28 2" xfId="36647"/>
    <cellStyle name="Uwaga 2 14 28 3" xfId="36648"/>
    <cellStyle name="Uwaga 2 14 29" xfId="36649"/>
    <cellStyle name="Uwaga 2 14 29 2" xfId="36650"/>
    <cellStyle name="Uwaga 2 14 29 3" xfId="36651"/>
    <cellStyle name="Uwaga 2 14 3" xfId="36652"/>
    <cellStyle name="Uwaga 2 14 3 2" xfId="36653"/>
    <cellStyle name="Uwaga 2 14 3 3" xfId="36654"/>
    <cellStyle name="Uwaga 2 14 3 4" xfId="36655"/>
    <cellStyle name="Uwaga 2 14 30" xfId="36656"/>
    <cellStyle name="Uwaga 2 14 30 2" xfId="36657"/>
    <cellStyle name="Uwaga 2 14 30 3" xfId="36658"/>
    <cellStyle name="Uwaga 2 14 31" xfId="36659"/>
    <cellStyle name="Uwaga 2 14 31 2" xfId="36660"/>
    <cellStyle name="Uwaga 2 14 31 3" xfId="36661"/>
    <cellStyle name="Uwaga 2 14 32" xfId="36662"/>
    <cellStyle name="Uwaga 2 14 32 2" xfId="36663"/>
    <cellStyle name="Uwaga 2 14 32 3" xfId="36664"/>
    <cellStyle name="Uwaga 2 14 33" xfId="36665"/>
    <cellStyle name="Uwaga 2 14 33 2" xfId="36666"/>
    <cellStyle name="Uwaga 2 14 33 3" xfId="36667"/>
    <cellStyle name="Uwaga 2 14 34" xfId="36668"/>
    <cellStyle name="Uwaga 2 14 34 2" xfId="36669"/>
    <cellStyle name="Uwaga 2 14 34 3" xfId="36670"/>
    <cellStyle name="Uwaga 2 14 35" xfId="36671"/>
    <cellStyle name="Uwaga 2 14 35 2" xfId="36672"/>
    <cellStyle name="Uwaga 2 14 35 3" xfId="36673"/>
    <cellStyle name="Uwaga 2 14 36" xfId="36674"/>
    <cellStyle name="Uwaga 2 14 36 2" xfId="36675"/>
    <cellStyle name="Uwaga 2 14 36 3" xfId="36676"/>
    <cellStyle name="Uwaga 2 14 37" xfId="36677"/>
    <cellStyle name="Uwaga 2 14 37 2" xfId="36678"/>
    <cellStyle name="Uwaga 2 14 37 3" xfId="36679"/>
    <cellStyle name="Uwaga 2 14 38" xfId="36680"/>
    <cellStyle name="Uwaga 2 14 38 2" xfId="36681"/>
    <cellStyle name="Uwaga 2 14 38 3" xfId="36682"/>
    <cellStyle name="Uwaga 2 14 39" xfId="36683"/>
    <cellStyle name="Uwaga 2 14 39 2" xfId="36684"/>
    <cellStyle name="Uwaga 2 14 39 3" xfId="36685"/>
    <cellStyle name="Uwaga 2 14 4" xfId="36686"/>
    <cellStyle name="Uwaga 2 14 4 2" xfId="36687"/>
    <cellStyle name="Uwaga 2 14 4 3" xfId="36688"/>
    <cellStyle name="Uwaga 2 14 4 4" xfId="36689"/>
    <cellStyle name="Uwaga 2 14 40" xfId="36690"/>
    <cellStyle name="Uwaga 2 14 40 2" xfId="36691"/>
    <cellStyle name="Uwaga 2 14 40 3" xfId="36692"/>
    <cellStyle name="Uwaga 2 14 41" xfId="36693"/>
    <cellStyle name="Uwaga 2 14 41 2" xfId="36694"/>
    <cellStyle name="Uwaga 2 14 41 3" xfId="36695"/>
    <cellStyle name="Uwaga 2 14 42" xfId="36696"/>
    <cellStyle name="Uwaga 2 14 42 2" xfId="36697"/>
    <cellStyle name="Uwaga 2 14 42 3" xfId="36698"/>
    <cellStyle name="Uwaga 2 14 43" xfId="36699"/>
    <cellStyle name="Uwaga 2 14 43 2" xfId="36700"/>
    <cellStyle name="Uwaga 2 14 43 3" xfId="36701"/>
    <cellStyle name="Uwaga 2 14 44" xfId="36702"/>
    <cellStyle name="Uwaga 2 14 44 2" xfId="36703"/>
    <cellStyle name="Uwaga 2 14 44 3" xfId="36704"/>
    <cellStyle name="Uwaga 2 14 45" xfId="36705"/>
    <cellStyle name="Uwaga 2 14 45 2" xfId="36706"/>
    <cellStyle name="Uwaga 2 14 45 3" xfId="36707"/>
    <cellStyle name="Uwaga 2 14 46" xfId="36708"/>
    <cellStyle name="Uwaga 2 14 46 2" xfId="36709"/>
    <cellStyle name="Uwaga 2 14 46 3" xfId="36710"/>
    <cellStyle name="Uwaga 2 14 47" xfId="36711"/>
    <cellStyle name="Uwaga 2 14 47 2" xfId="36712"/>
    <cellStyle name="Uwaga 2 14 47 3" xfId="36713"/>
    <cellStyle name="Uwaga 2 14 48" xfId="36714"/>
    <cellStyle name="Uwaga 2 14 48 2" xfId="36715"/>
    <cellStyle name="Uwaga 2 14 48 3" xfId="36716"/>
    <cellStyle name="Uwaga 2 14 49" xfId="36717"/>
    <cellStyle name="Uwaga 2 14 49 2" xfId="36718"/>
    <cellStyle name="Uwaga 2 14 49 3" xfId="36719"/>
    <cellStyle name="Uwaga 2 14 5" xfId="36720"/>
    <cellStyle name="Uwaga 2 14 5 2" xfId="36721"/>
    <cellStyle name="Uwaga 2 14 5 3" xfId="36722"/>
    <cellStyle name="Uwaga 2 14 5 4" xfId="36723"/>
    <cellStyle name="Uwaga 2 14 50" xfId="36724"/>
    <cellStyle name="Uwaga 2 14 50 2" xfId="36725"/>
    <cellStyle name="Uwaga 2 14 50 3" xfId="36726"/>
    <cellStyle name="Uwaga 2 14 51" xfId="36727"/>
    <cellStyle name="Uwaga 2 14 51 2" xfId="36728"/>
    <cellStyle name="Uwaga 2 14 51 3" xfId="36729"/>
    <cellStyle name="Uwaga 2 14 52" xfId="36730"/>
    <cellStyle name="Uwaga 2 14 52 2" xfId="36731"/>
    <cellStyle name="Uwaga 2 14 52 3" xfId="36732"/>
    <cellStyle name="Uwaga 2 14 53" xfId="36733"/>
    <cellStyle name="Uwaga 2 14 53 2" xfId="36734"/>
    <cellStyle name="Uwaga 2 14 53 3" xfId="36735"/>
    <cellStyle name="Uwaga 2 14 54" xfId="36736"/>
    <cellStyle name="Uwaga 2 14 54 2" xfId="36737"/>
    <cellStyle name="Uwaga 2 14 54 3" xfId="36738"/>
    <cellStyle name="Uwaga 2 14 55" xfId="36739"/>
    <cellStyle name="Uwaga 2 14 55 2" xfId="36740"/>
    <cellStyle name="Uwaga 2 14 55 3" xfId="36741"/>
    <cellStyle name="Uwaga 2 14 56" xfId="36742"/>
    <cellStyle name="Uwaga 2 14 56 2" xfId="36743"/>
    <cellStyle name="Uwaga 2 14 56 3" xfId="36744"/>
    <cellStyle name="Uwaga 2 14 57" xfId="36745"/>
    <cellStyle name="Uwaga 2 14 58" xfId="36746"/>
    <cellStyle name="Uwaga 2 14 6" xfId="36747"/>
    <cellStyle name="Uwaga 2 14 6 2" xfId="36748"/>
    <cellStyle name="Uwaga 2 14 6 3" xfId="36749"/>
    <cellStyle name="Uwaga 2 14 6 4" xfId="36750"/>
    <cellStyle name="Uwaga 2 14 7" xfId="36751"/>
    <cellStyle name="Uwaga 2 14 7 2" xfId="36752"/>
    <cellStyle name="Uwaga 2 14 7 3" xfId="36753"/>
    <cellStyle name="Uwaga 2 14 7 4" xfId="36754"/>
    <cellStyle name="Uwaga 2 14 8" xfId="36755"/>
    <cellStyle name="Uwaga 2 14 8 2" xfId="36756"/>
    <cellStyle name="Uwaga 2 14 8 3" xfId="36757"/>
    <cellStyle name="Uwaga 2 14 8 4" xfId="36758"/>
    <cellStyle name="Uwaga 2 14 9" xfId="36759"/>
    <cellStyle name="Uwaga 2 14 9 2" xfId="36760"/>
    <cellStyle name="Uwaga 2 14 9 3" xfId="36761"/>
    <cellStyle name="Uwaga 2 14 9 4" xfId="36762"/>
    <cellStyle name="Uwaga 2 15" xfId="36763"/>
    <cellStyle name="Uwaga 2 15 10" xfId="36764"/>
    <cellStyle name="Uwaga 2 15 10 2" xfId="36765"/>
    <cellStyle name="Uwaga 2 15 10 3" xfId="36766"/>
    <cellStyle name="Uwaga 2 15 10 4" xfId="36767"/>
    <cellStyle name="Uwaga 2 15 11" xfId="36768"/>
    <cellStyle name="Uwaga 2 15 11 2" xfId="36769"/>
    <cellStyle name="Uwaga 2 15 11 3" xfId="36770"/>
    <cellStyle name="Uwaga 2 15 11 4" xfId="36771"/>
    <cellStyle name="Uwaga 2 15 12" xfId="36772"/>
    <cellStyle name="Uwaga 2 15 12 2" xfId="36773"/>
    <cellStyle name="Uwaga 2 15 12 3" xfId="36774"/>
    <cellStyle name="Uwaga 2 15 12 4" xfId="36775"/>
    <cellStyle name="Uwaga 2 15 13" xfId="36776"/>
    <cellStyle name="Uwaga 2 15 13 2" xfId="36777"/>
    <cellStyle name="Uwaga 2 15 13 3" xfId="36778"/>
    <cellStyle name="Uwaga 2 15 13 4" xfId="36779"/>
    <cellStyle name="Uwaga 2 15 14" xfId="36780"/>
    <cellStyle name="Uwaga 2 15 14 2" xfId="36781"/>
    <cellStyle name="Uwaga 2 15 14 3" xfId="36782"/>
    <cellStyle name="Uwaga 2 15 14 4" xfId="36783"/>
    <cellStyle name="Uwaga 2 15 15" xfId="36784"/>
    <cellStyle name="Uwaga 2 15 15 2" xfId="36785"/>
    <cellStyle name="Uwaga 2 15 15 3" xfId="36786"/>
    <cellStyle name="Uwaga 2 15 15 4" xfId="36787"/>
    <cellStyle name="Uwaga 2 15 16" xfId="36788"/>
    <cellStyle name="Uwaga 2 15 16 2" xfId="36789"/>
    <cellStyle name="Uwaga 2 15 16 3" xfId="36790"/>
    <cellStyle name="Uwaga 2 15 16 4" xfId="36791"/>
    <cellStyle name="Uwaga 2 15 17" xfId="36792"/>
    <cellStyle name="Uwaga 2 15 17 2" xfId="36793"/>
    <cellStyle name="Uwaga 2 15 17 3" xfId="36794"/>
    <cellStyle name="Uwaga 2 15 17 4" xfId="36795"/>
    <cellStyle name="Uwaga 2 15 18" xfId="36796"/>
    <cellStyle name="Uwaga 2 15 18 2" xfId="36797"/>
    <cellStyle name="Uwaga 2 15 18 3" xfId="36798"/>
    <cellStyle name="Uwaga 2 15 18 4" xfId="36799"/>
    <cellStyle name="Uwaga 2 15 19" xfId="36800"/>
    <cellStyle name="Uwaga 2 15 19 2" xfId="36801"/>
    <cellStyle name="Uwaga 2 15 19 3" xfId="36802"/>
    <cellStyle name="Uwaga 2 15 19 4" xfId="36803"/>
    <cellStyle name="Uwaga 2 15 2" xfId="36804"/>
    <cellStyle name="Uwaga 2 15 2 2" xfId="36805"/>
    <cellStyle name="Uwaga 2 15 2 3" xfId="36806"/>
    <cellStyle name="Uwaga 2 15 2 4" xfId="36807"/>
    <cellStyle name="Uwaga 2 15 20" xfId="36808"/>
    <cellStyle name="Uwaga 2 15 20 2" xfId="36809"/>
    <cellStyle name="Uwaga 2 15 20 3" xfId="36810"/>
    <cellStyle name="Uwaga 2 15 20 4" xfId="36811"/>
    <cellStyle name="Uwaga 2 15 21" xfId="36812"/>
    <cellStyle name="Uwaga 2 15 21 2" xfId="36813"/>
    <cellStyle name="Uwaga 2 15 21 3" xfId="36814"/>
    <cellStyle name="Uwaga 2 15 22" xfId="36815"/>
    <cellStyle name="Uwaga 2 15 22 2" xfId="36816"/>
    <cellStyle name="Uwaga 2 15 22 3" xfId="36817"/>
    <cellStyle name="Uwaga 2 15 23" xfId="36818"/>
    <cellStyle name="Uwaga 2 15 23 2" xfId="36819"/>
    <cellStyle name="Uwaga 2 15 23 3" xfId="36820"/>
    <cellStyle name="Uwaga 2 15 24" xfId="36821"/>
    <cellStyle name="Uwaga 2 15 24 2" xfId="36822"/>
    <cellStyle name="Uwaga 2 15 24 3" xfId="36823"/>
    <cellStyle name="Uwaga 2 15 25" xfId="36824"/>
    <cellStyle name="Uwaga 2 15 25 2" xfId="36825"/>
    <cellStyle name="Uwaga 2 15 25 3" xfId="36826"/>
    <cellStyle name="Uwaga 2 15 26" xfId="36827"/>
    <cellStyle name="Uwaga 2 15 26 2" xfId="36828"/>
    <cellStyle name="Uwaga 2 15 26 3" xfId="36829"/>
    <cellStyle name="Uwaga 2 15 27" xfId="36830"/>
    <cellStyle name="Uwaga 2 15 27 2" xfId="36831"/>
    <cellStyle name="Uwaga 2 15 27 3" xfId="36832"/>
    <cellStyle name="Uwaga 2 15 28" xfId="36833"/>
    <cellStyle name="Uwaga 2 15 28 2" xfId="36834"/>
    <cellStyle name="Uwaga 2 15 28 3" xfId="36835"/>
    <cellStyle name="Uwaga 2 15 29" xfId="36836"/>
    <cellStyle name="Uwaga 2 15 29 2" xfId="36837"/>
    <cellStyle name="Uwaga 2 15 29 3" xfId="36838"/>
    <cellStyle name="Uwaga 2 15 3" xfId="36839"/>
    <cellStyle name="Uwaga 2 15 3 2" xfId="36840"/>
    <cellStyle name="Uwaga 2 15 3 3" xfId="36841"/>
    <cellStyle name="Uwaga 2 15 3 4" xfId="36842"/>
    <cellStyle name="Uwaga 2 15 30" xfId="36843"/>
    <cellStyle name="Uwaga 2 15 30 2" xfId="36844"/>
    <cellStyle name="Uwaga 2 15 30 3" xfId="36845"/>
    <cellStyle name="Uwaga 2 15 31" xfId="36846"/>
    <cellStyle name="Uwaga 2 15 31 2" xfId="36847"/>
    <cellStyle name="Uwaga 2 15 31 3" xfId="36848"/>
    <cellStyle name="Uwaga 2 15 32" xfId="36849"/>
    <cellStyle name="Uwaga 2 15 32 2" xfId="36850"/>
    <cellStyle name="Uwaga 2 15 32 3" xfId="36851"/>
    <cellStyle name="Uwaga 2 15 33" xfId="36852"/>
    <cellStyle name="Uwaga 2 15 33 2" xfId="36853"/>
    <cellStyle name="Uwaga 2 15 33 3" xfId="36854"/>
    <cellStyle name="Uwaga 2 15 34" xfId="36855"/>
    <cellStyle name="Uwaga 2 15 34 2" xfId="36856"/>
    <cellStyle name="Uwaga 2 15 34 3" xfId="36857"/>
    <cellStyle name="Uwaga 2 15 35" xfId="36858"/>
    <cellStyle name="Uwaga 2 15 35 2" xfId="36859"/>
    <cellStyle name="Uwaga 2 15 35 3" xfId="36860"/>
    <cellStyle name="Uwaga 2 15 36" xfId="36861"/>
    <cellStyle name="Uwaga 2 15 36 2" xfId="36862"/>
    <cellStyle name="Uwaga 2 15 36 3" xfId="36863"/>
    <cellStyle name="Uwaga 2 15 37" xfId="36864"/>
    <cellStyle name="Uwaga 2 15 37 2" xfId="36865"/>
    <cellStyle name="Uwaga 2 15 37 3" xfId="36866"/>
    <cellStyle name="Uwaga 2 15 38" xfId="36867"/>
    <cellStyle name="Uwaga 2 15 38 2" xfId="36868"/>
    <cellStyle name="Uwaga 2 15 38 3" xfId="36869"/>
    <cellStyle name="Uwaga 2 15 39" xfId="36870"/>
    <cellStyle name="Uwaga 2 15 39 2" xfId="36871"/>
    <cellStyle name="Uwaga 2 15 39 3" xfId="36872"/>
    <cellStyle name="Uwaga 2 15 4" xfId="36873"/>
    <cellStyle name="Uwaga 2 15 4 2" xfId="36874"/>
    <cellStyle name="Uwaga 2 15 4 3" xfId="36875"/>
    <cellStyle name="Uwaga 2 15 4 4" xfId="36876"/>
    <cellStyle name="Uwaga 2 15 40" xfId="36877"/>
    <cellStyle name="Uwaga 2 15 40 2" xfId="36878"/>
    <cellStyle name="Uwaga 2 15 40 3" xfId="36879"/>
    <cellStyle name="Uwaga 2 15 41" xfId="36880"/>
    <cellStyle name="Uwaga 2 15 41 2" xfId="36881"/>
    <cellStyle name="Uwaga 2 15 41 3" xfId="36882"/>
    <cellStyle name="Uwaga 2 15 42" xfId="36883"/>
    <cellStyle name="Uwaga 2 15 42 2" xfId="36884"/>
    <cellStyle name="Uwaga 2 15 42 3" xfId="36885"/>
    <cellStyle name="Uwaga 2 15 43" xfId="36886"/>
    <cellStyle name="Uwaga 2 15 43 2" xfId="36887"/>
    <cellStyle name="Uwaga 2 15 43 3" xfId="36888"/>
    <cellStyle name="Uwaga 2 15 44" xfId="36889"/>
    <cellStyle name="Uwaga 2 15 44 2" xfId="36890"/>
    <cellStyle name="Uwaga 2 15 44 3" xfId="36891"/>
    <cellStyle name="Uwaga 2 15 45" xfId="36892"/>
    <cellStyle name="Uwaga 2 15 45 2" xfId="36893"/>
    <cellStyle name="Uwaga 2 15 45 3" xfId="36894"/>
    <cellStyle name="Uwaga 2 15 46" xfId="36895"/>
    <cellStyle name="Uwaga 2 15 46 2" xfId="36896"/>
    <cellStyle name="Uwaga 2 15 46 3" xfId="36897"/>
    <cellStyle name="Uwaga 2 15 47" xfId="36898"/>
    <cellStyle name="Uwaga 2 15 47 2" xfId="36899"/>
    <cellStyle name="Uwaga 2 15 47 3" xfId="36900"/>
    <cellStyle name="Uwaga 2 15 48" xfId="36901"/>
    <cellStyle name="Uwaga 2 15 48 2" xfId="36902"/>
    <cellStyle name="Uwaga 2 15 48 3" xfId="36903"/>
    <cellStyle name="Uwaga 2 15 49" xfId="36904"/>
    <cellStyle name="Uwaga 2 15 49 2" xfId="36905"/>
    <cellStyle name="Uwaga 2 15 49 3" xfId="36906"/>
    <cellStyle name="Uwaga 2 15 5" xfId="36907"/>
    <cellStyle name="Uwaga 2 15 5 2" xfId="36908"/>
    <cellStyle name="Uwaga 2 15 5 3" xfId="36909"/>
    <cellStyle name="Uwaga 2 15 5 4" xfId="36910"/>
    <cellStyle name="Uwaga 2 15 50" xfId="36911"/>
    <cellStyle name="Uwaga 2 15 50 2" xfId="36912"/>
    <cellStyle name="Uwaga 2 15 50 3" xfId="36913"/>
    <cellStyle name="Uwaga 2 15 51" xfId="36914"/>
    <cellStyle name="Uwaga 2 15 51 2" xfId="36915"/>
    <cellStyle name="Uwaga 2 15 51 3" xfId="36916"/>
    <cellStyle name="Uwaga 2 15 52" xfId="36917"/>
    <cellStyle name="Uwaga 2 15 52 2" xfId="36918"/>
    <cellStyle name="Uwaga 2 15 52 3" xfId="36919"/>
    <cellStyle name="Uwaga 2 15 53" xfId="36920"/>
    <cellStyle name="Uwaga 2 15 53 2" xfId="36921"/>
    <cellStyle name="Uwaga 2 15 53 3" xfId="36922"/>
    <cellStyle name="Uwaga 2 15 54" xfId="36923"/>
    <cellStyle name="Uwaga 2 15 54 2" xfId="36924"/>
    <cellStyle name="Uwaga 2 15 54 3" xfId="36925"/>
    <cellStyle name="Uwaga 2 15 55" xfId="36926"/>
    <cellStyle name="Uwaga 2 15 55 2" xfId="36927"/>
    <cellStyle name="Uwaga 2 15 55 3" xfId="36928"/>
    <cellStyle name="Uwaga 2 15 56" xfId="36929"/>
    <cellStyle name="Uwaga 2 15 56 2" xfId="36930"/>
    <cellStyle name="Uwaga 2 15 56 3" xfId="36931"/>
    <cellStyle name="Uwaga 2 15 57" xfId="36932"/>
    <cellStyle name="Uwaga 2 15 58" xfId="36933"/>
    <cellStyle name="Uwaga 2 15 6" xfId="36934"/>
    <cellStyle name="Uwaga 2 15 6 2" xfId="36935"/>
    <cellStyle name="Uwaga 2 15 6 3" xfId="36936"/>
    <cellStyle name="Uwaga 2 15 6 4" xfId="36937"/>
    <cellStyle name="Uwaga 2 15 7" xfId="36938"/>
    <cellStyle name="Uwaga 2 15 7 2" xfId="36939"/>
    <cellStyle name="Uwaga 2 15 7 3" xfId="36940"/>
    <cellStyle name="Uwaga 2 15 7 4" xfId="36941"/>
    <cellStyle name="Uwaga 2 15 8" xfId="36942"/>
    <cellStyle name="Uwaga 2 15 8 2" xfId="36943"/>
    <cellStyle name="Uwaga 2 15 8 3" xfId="36944"/>
    <cellStyle name="Uwaga 2 15 8 4" xfId="36945"/>
    <cellStyle name="Uwaga 2 15 9" xfId="36946"/>
    <cellStyle name="Uwaga 2 15 9 2" xfId="36947"/>
    <cellStyle name="Uwaga 2 15 9 3" xfId="36948"/>
    <cellStyle name="Uwaga 2 15 9 4" xfId="36949"/>
    <cellStyle name="Uwaga 2 16" xfId="36950"/>
    <cellStyle name="Uwaga 2 16 10" xfId="36951"/>
    <cellStyle name="Uwaga 2 16 10 2" xfId="36952"/>
    <cellStyle name="Uwaga 2 16 10 3" xfId="36953"/>
    <cellStyle name="Uwaga 2 16 10 4" xfId="36954"/>
    <cellStyle name="Uwaga 2 16 11" xfId="36955"/>
    <cellStyle name="Uwaga 2 16 11 2" xfId="36956"/>
    <cellStyle name="Uwaga 2 16 11 3" xfId="36957"/>
    <cellStyle name="Uwaga 2 16 11 4" xfId="36958"/>
    <cellStyle name="Uwaga 2 16 12" xfId="36959"/>
    <cellStyle name="Uwaga 2 16 12 2" xfId="36960"/>
    <cellStyle name="Uwaga 2 16 12 3" xfId="36961"/>
    <cellStyle name="Uwaga 2 16 12 4" xfId="36962"/>
    <cellStyle name="Uwaga 2 16 13" xfId="36963"/>
    <cellStyle name="Uwaga 2 16 13 2" xfId="36964"/>
    <cellStyle name="Uwaga 2 16 13 3" xfId="36965"/>
    <cellStyle name="Uwaga 2 16 13 4" xfId="36966"/>
    <cellStyle name="Uwaga 2 16 14" xfId="36967"/>
    <cellStyle name="Uwaga 2 16 14 2" xfId="36968"/>
    <cellStyle name="Uwaga 2 16 14 3" xfId="36969"/>
    <cellStyle name="Uwaga 2 16 14 4" xfId="36970"/>
    <cellStyle name="Uwaga 2 16 15" xfId="36971"/>
    <cellStyle name="Uwaga 2 16 15 2" xfId="36972"/>
    <cellStyle name="Uwaga 2 16 15 3" xfId="36973"/>
    <cellStyle name="Uwaga 2 16 15 4" xfId="36974"/>
    <cellStyle name="Uwaga 2 16 16" xfId="36975"/>
    <cellStyle name="Uwaga 2 16 16 2" xfId="36976"/>
    <cellStyle name="Uwaga 2 16 16 3" xfId="36977"/>
    <cellStyle name="Uwaga 2 16 16 4" xfId="36978"/>
    <cellStyle name="Uwaga 2 16 17" xfId="36979"/>
    <cellStyle name="Uwaga 2 16 17 2" xfId="36980"/>
    <cellStyle name="Uwaga 2 16 17 3" xfId="36981"/>
    <cellStyle name="Uwaga 2 16 17 4" xfId="36982"/>
    <cellStyle name="Uwaga 2 16 18" xfId="36983"/>
    <cellStyle name="Uwaga 2 16 18 2" xfId="36984"/>
    <cellStyle name="Uwaga 2 16 18 3" xfId="36985"/>
    <cellStyle name="Uwaga 2 16 18 4" xfId="36986"/>
    <cellStyle name="Uwaga 2 16 19" xfId="36987"/>
    <cellStyle name="Uwaga 2 16 19 2" xfId="36988"/>
    <cellStyle name="Uwaga 2 16 19 3" xfId="36989"/>
    <cellStyle name="Uwaga 2 16 19 4" xfId="36990"/>
    <cellStyle name="Uwaga 2 16 2" xfId="36991"/>
    <cellStyle name="Uwaga 2 16 2 2" xfId="36992"/>
    <cellStyle name="Uwaga 2 16 2 3" xfId="36993"/>
    <cellStyle name="Uwaga 2 16 2 4" xfId="36994"/>
    <cellStyle name="Uwaga 2 16 20" xfId="36995"/>
    <cellStyle name="Uwaga 2 16 20 2" xfId="36996"/>
    <cellStyle name="Uwaga 2 16 20 3" xfId="36997"/>
    <cellStyle name="Uwaga 2 16 20 4" xfId="36998"/>
    <cellStyle name="Uwaga 2 16 21" xfId="36999"/>
    <cellStyle name="Uwaga 2 16 21 2" xfId="37000"/>
    <cellStyle name="Uwaga 2 16 21 3" xfId="37001"/>
    <cellStyle name="Uwaga 2 16 22" xfId="37002"/>
    <cellStyle name="Uwaga 2 16 22 2" xfId="37003"/>
    <cellStyle name="Uwaga 2 16 22 3" xfId="37004"/>
    <cellStyle name="Uwaga 2 16 23" xfId="37005"/>
    <cellStyle name="Uwaga 2 16 23 2" xfId="37006"/>
    <cellStyle name="Uwaga 2 16 23 3" xfId="37007"/>
    <cellStyle name="Uwaga 2 16 24" xfId="37008"/>
    <cellStyle name="Uwaga 2 16 24 2" xfId="37009"/>
    <cellStyle name="Uwaga 2 16 24 3" xfId="37010"/>
    <cellStyle name="Uwaga 2 16 25" xfId="37011"/>
    <cellStyle name="Uwaga 2 16 25 2" xfId="37012"/>
    <cellStyle name="Uwaga 2 16 25 3" xfId="37013"/>
    <cellStyle name="Uwaga 2 16 26" xfId="37014"/>
    <cellStyle name="Uwaga 2 16 26 2" xfId="37015"/>
    <cellStyle name="Uwaga 2 16 26 3" xfId="37016"/>
    <cellStyle name="Uwaga 2 16 27" xfId="37017"/>
    <cellStyle name="Uwaga 2 16 27 2" xfId="37018"/>
    <cellStyle name="Uwaga 2 16 27 3" xfId="37019"/>
    <cellStyle name="Uwaga 2 16 28" xfId="37020"/>
    <cellStyle name="Uwaga 2 16 28 2" xfId="37021"/>
    <cellStyle name="Uwaga 2 16 28 3" xfId="37022"/>
    <cellStyle name="Uwaga 2 16 29" xfId="37023"/>
    <cellStyle name="Uwaga 2 16 29 2" xfId="37024"/>
    <cellStyle name="Uwaga 2 16 29 3" xfId="37025"/>
    <cellStyle name="Uwaga 2 16 3" xfId="37026"/>
    <cellStyle name="Uwaga 2 16 3 2" xfId="37027"/>
    <cellStyle name="Uwaga 2 16 3 3" xfId="37028"/>
    <cellStyle name="Uwaga 2 16 3 4" xfId="37029"/>
    <cellStyle name="Uwaga 2 16 30" xfId="37030"/>
    <cellStyle name="Uwaga 2 16 30 2" xfId="37031"/>
    <cellStyle name="Uwaga 2 16 30 3" xfId="37032"/>
    <cellStyle name="Uwaga 2 16 31" xfId="37033"/>
    <cellStyle name="Uwaga 2 16 31 2" xfId="37034"/>
    <cellStyle name="Uwaga 2 16 31 3" xfId="37035"/>
    <cellStyle name="Uwaga 2 16 32" xfId="37036"/>
    <cellStyle name="Uwaga 2 16 32 2" xfId="37037"/>
    <cellStyle name="Uwaga 2 16 32 3" xfId="37038"/>
    <cellStyle name="Uwaga 2 16 33" xfId="37039"/>
    <cellStyle name="Uwaga 2 16 33 2" xfId="37040"/>
    <cellStyle name="Uwaga 2 16 33 3" xfId="37041"/>
    <cellStyle name="Uwaga 2 16 34" xfId="37042"/>
    <cellStyle name="Uwaga 2 16 34 2" xfId="37043"/>
    <cellStyle name="Uwaga 2 16 34 3" xfId="37044"/>
    <cellStyle name="Uwaga 2 16 35" xfId="37045"/>
    <cellStyle name="Uwaga 2 16 35 2" xfId="37046"/>
    <cellStyle name="Uwaga 2 16 35 3" xfId="37047"/>
    <cellStyle name="Uwaga 2 16 36" xfId="37048"/>
    <cellStyle name="Uwaga 2 16 36 2" xfId="37049"/>
    <cellStyle name="Uwaga 2 16 36 3" xfId="37050"/>
    <cellStyle name="Uwaga 2 16 37" xfId="37051"/>
    <cellStyle name="Uwaga 2 16 37 2" xfId="37052"/>
    <cellStyle name="Uwaga 2 16 37 3" xfId="37053"/>
    <cellStyle name="Uwaga 2 16 38" xfId="37054"/>
    <cellStyle name="Uwaga 2 16 38 2" xfId="37055"/>
    <cellStyle name="Uwaga 2 16 38 3" xfId="37056"/>
    <cellStyle name="Uwaga 2 16 39" xfId="37057"/>
    <cellStyle name="Uwaga 2 16 39 2" xfId="37058"/>
    <cellStyle name="Uwaga 2 16 39 3" xfId="37059"/>
    <cellStyle name="Uwaga 2 16 4" xfId="37060"/>
    <cellStyle name="Uwaga 2 16 4 2" xfId="37061"/>
    <cellStyle name="Uwaga 2 16 4 3" xfId="37062"/>
    <cellStyle name="Uwaga 2 16 4 4" xfId="37063"/>
    <cellStyle name="Uwaga 2 16 40" xfId="37064"/>
    <cellStyle name="Uwaga 2 16 40 2" xfId="37065"/>
    <cellStyle name="Uwaga 2 16 40 3" xfId="37066"/>
    <cellStyle name="Uwaga 2 16 41" xfId="37067"/>
    <cellStyle name="Uwaga 2 16 41 2" xfId="37068"/>
    <cellStyle name="Uwaga 2 16 41 3" xfId="37069"/>
    <cellStyle name="Uwaga 2 16 42" xfId="37070"/>
    <cellStyle name="Uwaga 2 16 42 2" xfId="37071"/>
    <cellStyle name="Uwaga 2 16 42 3" xfId="37072"/>
    <cellStyle name="Uwaga 2 16 43" xfId="37073"/>
    <cellStyle name="Uwaga 2 16 43 2" xfId="37074"/>
    <cellStyle name="Uwaga 2 16 43 3" xfId="37075"/>
    <cellStyle name="Uwaga 2 16 44" xfId="37076"/>
    <cellStyle name="Uwaga 2 16 44 2" xfId="37077"/>
    <cellStyle name="Uwaga 2 16 44 3" xfId="37078"/>
    <cellStyle name="Uwaga 2 16 45" xfId="37079"/>
    <cellStyle name="Uwaga 2 16 45 2" xfId="37080"/>
    <cellStyle name="Uwaga 2 16 45 3" xfId="37081"/>
    <cellStyle name="Uwaga 2 16 46" xfId="37082"/>
    <cellStyle name="Uwaga 2 16 46 2" xfId="37083"/>
    <cellStyle name="Uwaga 2 16 46 3" xfId="37084"/>
    <cellStyle name="Uwaga 2 16 47" xfId="37085"/>
    <cellStyle name="Uwaga 2 16 47 2" xfId="37086"/>
    <cellStyle name="Uwaga 2 16 47 3" xfId="37087"/>
    <cellStyle name="Uwaga 2 16 48" xfId="37088"/>
    <cellStyle name="Uwaga 2 16 48 2" xfId="37089"/>
    <cellStyle name="Uwaga 2 16 48 3" xfId="37090"/>
    <cellStyle name="Uwaga 2 16 49" xfId="37091"/>
    <cellStyle name="Uwaga 2 16 49 2" xfId="37092"/>
    <cellStyle name="Uwaga 2 16 49 3" xfId="37093"/>
    <cellStyle name="Uwaga 2 16 5" xfId="37094"/>
    <cellStyle name="Uwaga 2 16 5 2" xfId="37095"/>
    <cellStyle name="Uwaga 2 16 5 3" xfId="37096"/>
    <cellStyle name="Uwaga 2 16 5 4" xfId="37097"/>
    <cellStyle name="Uwaga 2 16 50" xfId="37098"/>
    <cellStyle name="Uwaga 2 16 50 2" xfId="37099"/>
    <cellStyle name="Uwaga 2 16 50 3" xfId="37100"/>
    <cellStyle name="Uwaga 2 16 51" xfId="37101"/>
    <cellStyle name="Uwaga 2 16 51 2" xfId="37102"/>
    <cellStyle name="Uwaga 2 16 51 3" xfId="37103"/>
    <cellStyle name="Uwaga 2 16 52" xfId="37104"/>
    <cellStyle name="Uwaga 2 16 52 2" xfId="37105"/>
    <cellStyle name="Uwaga 2 16 52 3" xfId="37106"/>
    <cellStyle name="Uwaga 2 16 53" xfId="37107"/>
    <cellStyle name="Uwaga 2 16 53 2" xfId="37108"/>
    <cellStyle name="Uwaga 2 16 53 3" xfId="37109"/>
    <cellStyle name="Uwaga 2 16 54" xfId="37110"/>
    <cellStyle name="Uwaga 2 16 54 2" xfId="37111"/>
    <cellStyle name="Uwaga 2 16 54 3" xfId="37112"/>
    <cellStyle name="Uwaga 2 16 55" xfId="37113"/>
    <cellStyle name="Uwaga 2 16 55 2" xfId="37114"/>
    <cellStyle name="Uwaga 2 16 55 3" xfId="37115"/>
    <cellStyle name="Uwaga 2 16 56" xfId="37116"/>
    <cellStyle name="Uwaga 2 16 56 2" xfId="37117"/>
    <cellStyle name="Uwaga 2 16 56 3" xfId="37118"/>
    <cellStyle name="Uwaga 2 16 57" xfId="37119"/>
    <cellStyle name="Uwaga 2 16 58" xfId="37120"/>
    <cellStyle name="Uwaga 2 16 6" xfId="37121"/>
    <cellStyle name="Uwaga 2 16 6 2" xfId="37122"/>
    <cellStyle name="Uwaga 2 16 6 3" xfId="37123"/>
    <cellStyle name="Uwaga 2 16 6 4" xfId="37124"/>
    <cellStyle name="Uwaga 2 16 7" xfId="37125"/>
    <cellStyle name="Uwaga 2 16 7 2" xfId="37126"/>
    <cellStyle name="Uwaga 2 16 7 3" xfId="37127"/>
    <cellStyle name="Uwaga 2 16 7 4" xfId="37128"/>
    <cellStyle name="Uwaga 2 16 8" xfId="37129"/>
    <cellStyle name="Uwaga 2 16 8 2" xfId="37130"/>
    <cellStyle name="Uwaga 2 16 8 3" xfId="37131"/>
    <cellStyle name="Uwaga 2 16 8 4" xfId="37132"/>
    <cellStyle name="Uwaga 2 16 9" xfId="37133"/>
    <cellStyle name="Uwaga 2 16 9 2" xfId="37134"/>
    <cellStyle name="Uwaga 2 16 9 3" xfId="37135"/>
    <cellStyle name="Uwaga 2 16 9 4" xfId="37136"/>
    <cellStyle name="Uwaga 2 17" xfId="37137"/>
    <cellStyle name="Uwaga 2 17 10" xfId="37138"/>
    <cellStyle name="Uwaga 2 17 10 2" xfId="37139"/>
    <cellStyle name="Uwaga 2 17 10 3" xfId="37140"/>
    <cellStyle name="Uwaga 2 17 10 4" xfId="37141"/>
    <cellStyle name="Uwaga 2 17 11" xfId="37142"/>
    <cellStyle name="Uwaga 2 17 11 2" xfId="37143"/>
    <cellStyle name="Uwaga 2 17 11 3" xfId="37144"/>
    <cellStyle name="Uwaga 2 17 11 4" xfId="37145"/>
    <cellStyle name="Uwaga 2 17 12" xfId="37146"/>
    <cellStyle name="Uwaga 2 17 12 2" xfId="37147"/>
    <cellStyle name="Uwaga 2 17 12 3" xfId="37148"/>
    <cellStyle name="Uwaga 2 17 12 4" xfId="37149"/>
    <cellStyle name="Uwaga 2 17 13" xfId="37150"/>
    <cellStyle name="Uwaga 2 17 13 2" xfId="37151"/>
    <cellStyle name="Uwaga 2 17 13 3" xfId="37152"/>
    <cellStyle name="Uwaga 2 17 13 4" xfId="37153"/>
    <cellStyle name="Uwaga 2 17 14" xfId="37154"/>
    <cellStyle name="Uwaga 2 17 14 2" xfId="37155"/>
    <cellStyle name="Uwaga 2 17 14 3" xfId="37156"/>
    <cellStyle name="Uwaga 2 17 14 4" xfId="37157"/>
    <cellStyle name="Uwaga 2 17 15" xfId="37158"/>
    <cellStyle name="Uwaga 2 17 15 2" xfId="37159"/>
    <cellStyle name="Uwaga 2 17 15 3" xfId="37160"/>
    <cellStyle name="Uwaga 2 17 15 4" xfId="37161"/>
    <cellStyle name="Uwaga 2 17 16" xfId="37162"/>
    <cellStyle name="Uwaga 2 17 16 2" xfId="37163"/>
    <cellStyle name="Uwaga 2 17 16 3" xfId="37164"/>
    <cellStyle name="Uwaga 2 17 16 4" xfId="37165"/>
    <cellStyle name="Uwaga 2 17 17" xfId="37166"/>
    <cellStyle name="Uwaga 2 17 17 2" xfId="37167"/>
    <cellStyle name="Uwaga 2 17 17 3" xfId="37168"/>
    <cellStyle name="Uwaga 2 17 17 4" xfId="37169"/>
    <cellStyle name="Uwaga 2 17 18" xfId="37170"/>
    <cellStyle name="Uwaga 2 17 18 2" xfId="37171"/>
    <cellStyle name="Uwaga 2 17 18 3" xfId="37172"/>
    <cellStyle name="Uwaga 2 17 18 4" xfId="37173"/>
    <cellStyle name="Uwaga 2 17 19" xfId="37174"/>
    <cellStyle name="Uwaga 2 17 19 2" xfId="37175"/>
    <cellStyle name="Uwaga 2 17 19 3" xfId="37176"/>
    <cellStyle name="Uwaga 2 17 19 4" xfId="37177"/>
    <cellStyle name="Uwaga 2 17 2" xfId="37178"/>
    <cellStyle name="Uwaga 2 17 2 2" xfId="37179"/>
    <cellStyle name="Uwaga 2 17 2 3" xfId="37180"/>
    <cellStyle name="Uwaga 2 17 2 4" xfId="37181"/>
    <cellStyle name="Uwaga 2 17 20" xfId="37182"/>
    <cellStyle name="Uwaga 2 17 20 2" xfId="37183"/>
    <cellStyle name="Uwaga 2 17 20 3" xfId="37184"/>
    <cellStyle name="Uwaga 2 17 20 4" xfId="37185"/>
    <cellStyle name="Uwaga 2 17 21" xfId="37186"/>
    <cellStyle name="Uwaga 2 17 21 2" xfId="37187"/>
    <cellStyle name="Uwaga 2 17 21 3" xfId="37188"/>
    <cellStyle name="Uwaga 2 17 22" xfId="37189"/>
    <cellStyle name="Uwaga 2 17 22 2" xfId="37190"/>
    <cellStyle name="Uwaga 2 17 22 3" xfId="37191"/>
    <cellStyle name="Uwaga 2 17 23" xfId="37192"/>
    <cellStyle name="Uwaga 2 17 23 2" xfId="37193"/>
    <cellStyle name="Uwaga 2 17 23 3" xfId="37194"/>
    <cellStyle name="Uwaga 2 17 24" xfId="37195"/>
    <cellStyle name="Uwaga 2 17 24 2" xfId="37196"/>
    <cellStyle name="Uwaga 2 17 24 3" xfId="37197"/>
    <cellStyle name="Uwaga 2 17 25" xfId="37198"/>
    <cellStyle name="Uwaga 2 17 25 2" xfId="37199"/>
    <cellStyle name="Uwaga 2 17 25 3" xfId="37200"/>
    <cellStyle name="Uwaga 2 17 26" xfId="37201"/>
    <cellStyle name="Uwaga 2 17 26 2" xfId="37202"/>
    <cellStyle name="Uwaga 2 17 26 3" xfId="37203"/>
    <cellStyle name="Uwaga 2 17 27" xfId="37204"/>
    <cellStyle name="Uwaga 2 17 27 2" xfId="37205"/>
    <cellStyle name="Uwaga 2 17 27 3" xfId="37206"/>
    <cellStyle name="Uwaga 2 17 28" xfId="37207"/>
    <cellStyle name="Uwaga 2 17 28 2" xfId="37208"/>
    <cellStyle name="Uwaga 2 17 28 3" xfId="37209"/>
    <cellStyle name="Uwaga 2 17 29" xfId="37210"/>
    <cellStyle name="Uwaga 2 17 29 2" xfId="37211"/>
    <cellStyle name="Uwaga 2 17 29 3" xfId="37212"/>
    <cellStyle name="Uwaga 2 17 3" xfId="37213"/>
    <cellStyle name="Uwaga 2 17 3 2" xfId="37214"/>
    <cellStyle name="Uwaga 2 17 3 3" xfId="37215"/>
    <cellStyle name="Uwaga 2 17 3 4" xfId="37216"/>
    <cellStyle name="Uwaga 2 17 30" xfId="37217"/>
    <cellStyle name="Uwaga 2 17 30 2" xfId="37218"/>
    <cellStyle name="Uwaga 2 17 30 3" xfId="37219"/>
    <cellStyle name="Uwaga 2 17 31" xfId="37220"/>
    <cellStyle name="Uwaga 2 17 31 2" xfId="37221"/>
    <cellStyle name="Uwaga 2 17 31 3" xfId="37222"/>
    <cellStyle name="Uwaga 2 17 32" xfId="37223"/>
    <cellStyle name="Uwaga 2 17 32 2" xfId="37224"/>
    <cellStyle name="Uwaga 2 17 32 3" xfId="37225"/>
    <cellStyle name="Uwaga 2 17 33" xfId="37226"/>
    <cellStyle name="Uwaga 2 17 33 2" xfId="37227"/>
    <cellStyle name="Uwaga 2 17 33 3" xfId="37228"/>
    <cellStyle name="Uwaga 2 17 34" xfId="37229"/>
    <cellStyle name="Uwaga 2 17 34 2" xfId="37230"/>
    <cellStyle name="Uwaga 2 17 34 3" xfId="37231"/>
    <cellStyle name="Uwaga 2 17 35" xfId="37232"/>
    <cellStyle name="Uwaga 2 17 35 2" xfId="37233"/>
    <cellStyle name="Uwaga 2 17 35 3" xfId="37234"/>
    <cellStyle name="Uwaga 2 17 36" xfId="37235"/>
    <cellStyle name="Uwaga 2 17 36 2" xfId="37236"/>
    <cellStyle name="Uwaga 2 17 36 3" xfId="37237"/>
    <cellStyle name="Uwaga 2 17 37" xfId="37238"/>
    <cellStyle name="Uwaga 2 17 37 2" xfId="37239"/>
    <cellStyle name="Uwaga 2 17 37 3" xfId="37240"/>
    <cellStyle name="Uwaga 2 17 38" xfId="37241"/>
    <cellStyle name="Uwaga 2 17 38 2" xfId="37242"/>
    <cellStyle name="Uwaga 2 17 38 3" xfId="37243"/>
    <cellStyle name="Uwaga 2 17 39" xfId="37244"/>
    <cellStyle name="Uwaga 2 17 39 2" xfId="37245"/>
    <cellStyle name="Uwaga 2 17 39 3" xfId="37246"/>
    <cellStyle name="Uwaga 2 17 4" xfId="37247"/>
    <cellStyle name="Uwaga 2 17 4 2" xfId="37248"/>
    <cellStyle name="Uwaga 2 17 4 3" xfId="37249"/>
    <cellStyle name="Uwaga 2 17 4 4" xfId="37250"/>
    <cellStyle name="Uwaga 2 17 40" xfId="37251"/>
    <cellStyle name="Uwaga 2 17 40 2" xfId="37252"/>
    <cellStyle name="Uwaga 2 17 40 3" xfId="37253"/>
    <cellStyle name="Uwaga 2 17 41" xfId="37254"/>
    <cellStyle name="Uwaga 2 17 41 2" xfId="37255"/>
    <cellStyle name="Uwaga 2 17 41 3" xfId="37256"/>
    <cellStyle name="Uwaga 2 17 42" xfId="37257"/>
    <cellStyle name="Uwaga 2 17 42 2" xfId="37258"/>
    <cellStyle name="Uwaga 2 17 42 3" xfId="37259"/>
    <cellStyle name="Uwaga 2 17 43" xfId="37260"/>
    <cellStyle name="Uwaga 2 17 43 2" xfId="37261"/>
    <cellStyle name="Uwaga 2 17 43 3" xfId="37262"/>
    <cellStyle name="Uwaga 2 17 44" xfId="37263"/>
    <cellStyle name="Uwaga 2 17 44 2" xfId="37264"/>
    <cellStyle name="Uwaga 2 17 44 3" xfId="37265"/>
    <cellStyle name="Uwaga 2 17 45" xfId="37266"/>
    <cellStyle name="Uwaga 2 17 45 2" xfId="37267"/>
    <cellStyle name="Uwaga 2 17 45 3" xfId="37268"/>
    <cellStyle name="Uwaga 2 17 46" xfId="37269"/>
    <cellStyle name="Uwaga 2 17 46 2" xfId="37270"/>
    <cellStyle name="Uwaga 2 17 46 3" xfId="37271"/>
    <cellStyle name="Uwaga 2 17 47" xfId="37272"/>
    <cellStyle name="Uwaga 2 17 47 2" xfId="37273"/>
    <cellStyle name="Uwaga 2 17 47 3" xfId="37274"/>
    <cellStyle name="Uwaga 2 17 48" xfId="37275"/>
    <cellStyle name="Uwaga 2 17 48 2" xfId="37276"/>
    <cellStyle name="Uwaga 2 17 48 3" xfId="37277"/>
    <cellStyle name="Uwaga 2 17 49" xfId="37278"/>
    <cellStyle name="Uwaga 2 17 49 2" xfId="37279"/>
    <cellStyle name="Uwaga 2 17 49 3" xfId="37280"/>
    <cellStyle name="Uwaga 2 17 5" xfId="37281"/>
    <cellStyle name="Uwaga 2 17 5 2" xfId="37282"/>
    <cellStyle name="Uwaga 2 17 5 3" xfId="37283"/>
    <cellStyle name="Uwaga 2 17 5 4" xfId="37284"/>
    <cellStyle name="Uwaga 2 17 50" xfId="37285"/>
    <cellStyle name="Uwaga 2 17 50 2" xfId="37286"/>
    <cellStyle name="Uwaga 2 17 50 3" xfId="37287"/>
    <cellStyle name="Uwaga 2 17 51" xfId="37288"/>
    <cellStyle name="Uwaga 2 17 51 2" xfId="37289"/>
    <cellStyle name="Uwaga 2 17 51 3" xfId="37290"/>
    <cellStyle name="Uwaga 2 17 52" xfId="37291"/>
    <cellStyle name="Uwaga 2 17 52 2" xfId="37292"/>
    <cellStyle name="Uwaga 2 17 52 3" xfId="37293"/>
    <cellStyle name="Uwaga 2 17 53" xfId="37294"/>
    <cellStyle name="Uwaga 2 17 53 2" xfId="37295"/>
    <cellStyle name="Uwaga 2 17 53 3" xfId="37296"/>
    <cellStyle name="Uwaga 2 17 54" xfId="37297"/>
    <cellStyle name="Uwaga 2 17 54 2" xfId="37298"/>
    <cellStyle name="Uwaga 2 17 54 3" xfId="37299"/>
    <cellStyle name="Uwaga 2 17 55" xfId="37300"/>
    <cellStyle name="Uwaga 2 17 55 2" xfId="37301"/>
    <cellStyle name="Uwaga 2 17 55 3" xfId="37302"/>
    <cellStyle name="Uwaga 2 17 56" xfId="37303"/>
    <cellStyle name="Uwaga 2 17 56 2" xfId="37304"/>
    <cellStyle name="Uwaga 2 17 56 3" xfId="37305"/>
    <cellStyle name="Uwaga 2 17 57" xfId="37306"/>
    <cellStyle name="Uwaga 2 17 58" xfId="37307"/>
    <cellStyle name="Uwaga 2 17 6" xfId="37308"/>
    <cellStyle name="Uwaga 2 17 6 2" xfId="37309"/>
    <cellStyle name="Uwaga 2 17 6 3" xfId="37310"/>
    <cellStyle name="Uwaga 2 17 6 4" xfId="37311"/>
    <cellStyle name="Uwaga 2 17 7" xfId="37312"/>
    <cellStyle name="Uwaga 2 17 7 2" xfId="37313"/>
    <cellStyle name="Uwaga 2 17 7 3" xfId="37314"/>
    <cellStyle name="Uwaga 2 17 7 4" xfId="37315"/>
    <cellStyle name="Uwaga 2 17 8" xfId="37316"/>
    <cellStyle name="Uwaga 2 17 8 2" xfId="37317"/>
    <cellStyle name="Uwaga 2 17 8 3" xfId="37318"/>
    <cellStyle name="Uwaga 2 17 8 4" xfId="37319"/>
    <cellStyle name="Uwaga 2 17 9" xfId="37320"/>
    <cellStyle name="Uwaga 2 17 9 2" xfId="37321"/>
    <cellStyle name="Uwaga 2 17 9 3" xfId="37322"/>
    <cellStyle name="Uwaga 2 17 9 4" xfId="37323"/>
    <cellStyle name="Uwaga 2 18" xfId="37324"/>
    <cellStyle name="Uwaga 2 18 10" xfId="37325"/>
    <cellStyle name="Uwaga 2 18 10 2" xfId="37326"/>
    <cellStyle name="Uwaga 2 18 10 3" xfId="37327"/>
    <cellStyle name="Uwaga 2 18 10 4" xfId="37328"/>
    <cellStyle name="Uwaga 2 18 11" xfId="37329"/>
    <cellStyle name="Uwaga 2 18 11 2" xfId="37330"/>
    <cellStyle name="Uwaga 2 18 11 3" xfId="37331"/>
    <cellStyle name="Uwaga 2 18 11 4" xfId="37332"/>
    <cellStyle name="Uwaga 2 18 12" xfId="37333"/>
    <cellStyle name="Uwaga 2 18 12 2" xfId="37334"/>
    <cellStyle name="Uwaga 2 18 12 3" xfId="37335"/>
    <cellStyle name="Uwaga 2 18 12 4" xfId="37336"/>
    <cellStyle name="Uwaga 2 18 13" xfId="37337"/>
    <cellStyle name="Uwaga 2 18 13 2" xfId="37338"/>
    <cellStyle name="Uwaga 2 18 13 3" xfId="37339"/>
    <cellStyle name="Uwaga 2 18 13 4" xfId="37340"/>
    <cellStyle name="Uwaga 2 18 14" xfId="37341"/>
    <cellStyle name="Uwaga 2 18 14 2" xfId="37342"/>
    <cellStyle name="Uwaga 2 18 14 3" xfId="37343"/>
    <cellStyle name="Uwaga 2 18 14 4" xfId="37344"/>
    <cellStyle name="Uwaga 2 18 15" xfId="37345"/>
    <cellStyle name="Uwaga 2 18 15 2" xfId="37346"/>
    <cellStyle name="Uwaga 2 18 15 3" xfId="37347"/>
    <cellStyle name="Uwaga 2 18 15 4" xfId="37348"/>
    <cellStyle name="Uwaga 2 18 16" xfId="37349"/>
    <cellStyle name="Uwaga 2 18 16 2" xfId="37350"/>
    <cellStyle name="Uwaga 2 18 16 3" xfId="37351"/>
    <cellStyle name="Uwaga 2 18 16 4" xfId="37352"/>
    <cellStyle name="Uwaga 2 18 17" xfId="37353"/>
    <cellStyle name="Uwaga 2 18 17 2" xfId="37354"/>
    <cellStyle name="Uwaga 2 18 17 3" xfId="37355"/>
    <cellStyle name="Uwaga 2 18 17 4" xfId="37356"/>
    <cellStyle name="Uwaga 2 18 18" xfId="37357"/>
    <cellStyle name="Uwaga 2 18 18 2" xfId="37358"/>
    <cellStyle name="Uwaga 2 18 18 3" xfId="37359"/>
    <cellStyle name="Uwaga 2 18 18 4" xfId="37360"/>
    <cellStyle name="Uwaga 2 18 19" xfId="37361"/>
    <cellStyle name="Uwaga 2 18 19 2" xfId="37362"/>
    <cellStyle name="Uwaga 2 18 19 3" xfId="37363"/>
    <cellStyle name="Uwaga 2 18 19 4" xfId="37364"/>
    <cellStyle name="Uwaga 2 18 2" xfId="37365"/>
    <cellStyle name="Uwaga 2 18 2 2" xfId="37366"/>
    <cellStyle name="Uwaga 2 18 2 3" xfId="37367"/>
    <cellStyle name="Uwaga 2 18 2 4" xfId="37368"/>
    <cellStyle name="Uwaga 2 18 20" xfId="37369"/>
    <cellStyle name="Uwaga 2 18 20 2" xfId="37370"/>
    <cellStyle name="Uwaga 2 18 20 3" xfId="37371"/>
    <cellStyle name="Uwaga 2 18 20 4" xfId="37372"/>
    <cellStyle name="Uwaga 2 18 21" xfId="37373"/>
    <cellStyle name="Uwaga 2 18 21 2" xfId="37374"/>
    <cellStyle name="Uwaga 2 18 21 3" xfId="37375"/>
    <cellStyle name="Uwaga 2 18 22" xfId="37376"/>
    <cellStyle name="Uwaga 2 18 22 2" xfId="37377"/>
    <cellStyle name="Uwaga 2 18 22 3" xfId="37378"/>
    <cellStyle name="Uwaga 2 18 23" xfId="37379"/>
    <cellStyle name="Uwaga 2 18 23 2" xfId="37380"/>
    <cellStyle name="Uwaga 2 18 23 3" xfId="37381"/>
    <cellStyle name="Uwaga 2 18 24" xfId="37382"/>
    <cellStyle name="Uwaga 2 18 24 2" xfId="37383"/>
    <cellStyle name="Uwaga 2 18 24 3" xfId="37384"/>
    <cellStyle name="Uwaga 2 18 25" xfId="37385"/>
    <cellStyle name="Uwaga 2 18 25 2" xfId="37386"/>
    <cellStyle name="Uwaga 2 18 25 3" xfId="37387"/>
    <cellStyle name="Uwaga 2 18 26" xfId="37388"/>
    <cellStyle name="Uwaga 2 18 26 2" xfId="37389"/>
    <cellStyle name="Uwaga 2 18 26 3" xfId="37390"/>
    <cellStyle name="Uwaga 2 18 27" xfId="37391"/>
    <cellStyle name="Uwaga 2 18 27 2" xfId="37392"/>
    <cellStyle name="Uwaga 2 18 27 3" xfId="37393"/>
    <cellStyle name="Uwaga 2 18 28" xfId="37394"/>
    <cellStyle name="Uwaga 2 18 28 2" xfId="37395"/>
    <cellStyle name="Uwaga 2 18 28 3" xfId="37396"/>
    <cellStyle name="Uwaga 2 18 29" xfId="37397"/>
    <cellStyle name="Uwaga 2 18 29 2" xfId="37398"/>
    <cellStyle name="Uwaga 2 18 29 3" xfId="37399"/>
    <cellStyle name="Uwaga 2 18 3" xfId="37400"/>
    <cellStyle name="Uwaga 2 18 3 2" xfId="37401"/>
    <cellStyle name="Uwaga 2 18 3 3" xfId="37402"/>
    <cellStyle name="Uwaga 2 18 3 4" xfId="37403"/>
    <cellStyle name="Uwaga 2 18 30" xfId="37404"/>
    <cellStyle name="Uwaga 2 18 30 2" xfId="37405"/>
    <cellStyle name="Uwaga 2 18 30 3" xfId="37406"/>
    <cellStyle name="Uwaga 2 18 31" xfId="37407"/>
    <cellStyle name="Uwaga 2 18 31 2" xfId="37408"/>
    <cellStyle name="Uwaga 2 18 31 3" xfId="37409"/>
    <cellStyle name="Uwaga 2 18 32" xfId="37410"/>
    <cellStyle name="Uwaga 2 18 32 2" xfId="37411"/>
    <cellStyle name="Uwaga 2 18 32 3" xfId="37412"/>
    <cellStyle name="Uwaga 2 18 33" xfId="37413"/>
    <cellStyle name="Uwaga 2 18 33 2" xfId="37414"/>
    <cellStyle name="Uwaga 2 18 33 3" xfId="37415"/>
    <cellStyle name="Uwaga 2 18 34" xfId="37416"/>
    <cellStyle name="Uwaga 2 18 34 2" xfId="37417"/>
    <cellStyle name="Uwaga 2 18 34 3" xfId="37418"/>
    <cellStyle name="Uwaga 2 18 35" xfId="37419"/>
    <cellStyle name="Uwaga 2 18 35 2" xfId="37420"/>
    <cellStyle name="Uwaga 2 18 35 3" xfId="37421"/>
    <cellStyle name="Uwaga 2 18 36" xfId="37422"/>
    <cellStyle name="Uwaga 2 18 36 2" xfId="37423"/>
    <cellStyle name="Uwaga 2 18 36 3" xfId="37424"/>
    <cellStyle name="Uwaga 2 18 37" xfId="37425"/>
    <cellStyle name="Uwaga 2 18 37 2" xfId="37426"/>
    <cellStyle name="Uwaga 2 18 37 3" xfId="37427"/>
    <cellStyle name="Uwaga 2 18 38" xfId="37428"/>
    <cellStyle name="Uwaga 2 18 38 2" xfId="37429"/>
    <cellStyle name="Uwaga 2 18 38 3" xfId="37430"/>
    <cellStyle name="Uwaga 2 18 39" xfId="37431"/>
    <cellStyle name="Uwaga 2 18 39 2" xfId="37432"/>
    <cellStyle name="Uwaga 2 18 39 3" xfId="37433"/>
    <cellStyle name="Uwaga 2 18 4" xfId="37434"/>
    <cellStyle name="Uwaga 2 18 4 2" xfId="37435"/>
    <cellStyle name="Uwaga 2 18 4 3" xfId="37436"/>
    <cellStyle name="Uwaga 2 18 4 4" xfId="37437"/>
    <cellStyle name="Uwaga 2 18 40" xfId="37438"/>
    <cellStyle name="Uwaga 2 18 40 2" xfId="37439"/>
    <cellStyle name="Uwaga 2 18 40 3" xfId="37440"/>
    <cellStyle name="Uwaga 2 18 41" xfId="37441"/>
    <cellStyle name="Uwaga 2 18 41 2" xfId="37442"/>
    <cellStyle name="Uwaga 2 18 41 3" xfId="37443"/>
    <cellStyle name="Uwaga 2 18 42" xfId="37444"/>
    <cellStyle name="Uwaga 2 18 42 2" xfId="37445"/>
    <cellStyle name="Uwaga 2 18 42 3" xfId="37446"/>
    <cellStyle name="Uwaga 2 18 43" xfId="37447"/>
    <cellStyle name="Uwaga 2 18 43 2" xfId="37448"/>
    <cellStyle name="Uwaga 2 18 43 3" xfId="37449"/>
    <cellStyle name="Uwaga 2 18 44" xfId="37450"/>
    <cellStyle name="Uwaga 2 18 44 2" xfId="37451"/>
    <cellStyle name="Uwaga 2 18 44 3" xfId="37452"/>
    <cellStyle name="Uwaga 2 18 45" xfId="37453"/>
    <cellStyle name="Uwaga 2 18 45 2" xfId="37454"/>
    <cellStyle name="Uwaga 2 18 45 3" xfId="37455"/>
    <cellStyle name="Uwaga 2 18 46" xfId="37456"/>
    <cellStyle name="Uwaga 2 18 46 2" xfId="37457"/>
    <cellStyle name="Uwaga 2 18 46 3" xfId="37458"/>
    <cellStyle name="Uwaga 2 18 47" xfId="37459"/>
    <cellStyle name="Uwaga 2 18 47 2" xfId="37460"/>
    <cellStyle name="Uwaga 2 18 47 3" xfId="37461"/>
    <cellStyle name="Uwaga 2 18 48" xfId="37462"/>
    <cellStyle name="Uwaga 2 18 48 2" xfId="37463"/>
    <cellStyle name="Uwaga 2 18 48 3" xfId="37464"/>
    <cellStyle name="Uwaga 2 18 49" xfId="37465"/>
    <cellStyle name="Uwaga 2 18 49 2" xfId="37466"/>
    <cellStyle name="Uwaga 2 18 49 3" xfId="37467"/>
    <cellStyle name="Uwaga 2 18 5" xfId="37468"/>
    <cellStyle name="Uwaga 2 18 5 2" xfId="37469"/>
    <cellStyle name="Uwaga 2 18 5 3" xfId="37470"/>
    <cellStyle name="Uwaga 2 18 5 4" xfId="37471"/>
    <cellStyle name="Uwaga 2 18 50" xfId="37472"/>
    <cellStyle name="Uwaga 2 18 50 2" xfId="37473"/>
    <cellStyle name="Uwaga 2 18 50 3" xfId="37474"/>
    <cellStyle name="Uwaga 2 18 51" xfId="37475"/>
    <cellStyle name="Uwaga 2 18 51 2" xfId="37476"/>
    <cellStyle name="Uwaga 2 18 51 3" xfId="37477"/>
    <cellStyle name="Uwaga 2 18 52" xfId="37478"/>
    <cellStyle name="Uwaga 2 18 52 2" xfId="37479"/>
    <cellStyle name="Uwaga 2 18 52 3" xfId="37480"/>
    <cellStyle name="Uwaga 2 18 53" xfId="37481"/>
    <cellStyle name="Uwaga 2 18 53 2" xfId="37482"/>
    <cellStyle name="Uwaga 2 18 53 3" xfId="37483"/>
    <cellStyle name="Uwaga 2 18 54" xfId="37484"/>
    <cellStyle name="Uwaga 2 18 54 2" xfId="37485"/>
    <cellStyle name="Uwaga 2 18 54 3" xfId="37486"/>
    <cellStyle name="Uwaga 2 18 55" xfId="37487"/>
    <cellStyle name="Uwaga 2 18 55 2" xfId="37488"/>
    <cellStyle name="Uwaga 2 18 55 3" xfId="37489"/>
    <cellStyle name="Uwaga 2 18 56" xfId="37490"/>
    <cellStyle name="Uwaga 2 18 56 2" xfId="37491"/>
    <cellStyle name="Uwaga 2 18 56 3" xfId="37492"/>
    <cellStyle name="Uwaga 2 18 57" xfId="37493"/>
    <cellStyle name="Uwaga 2 18 58" xfId="37494"/>
    <cellStyle name="Uwaga 2 18 6" xfId="37495"/>
    <cellStyle name="Uwaga 2 18 6 2" xfId="37496"/>
    <cellStyle name="Uwaga 2 18 6 3" xfId="37497"/>
    <cellStyle name="Uwaga 2 18 6 4" xfId="37498"/>
    <cellStyle name="Uwaga 2 18 7" xfId="37499"/>
    <cellStyle name="Uwaga 2 18 7 2" xfId="37500"/>
    <cellStyle name="Uwaga 2 18 7 3" xfId="37501"/>
    <cellStyle name="Uwaga 2 18 7 4" xfId="37502"/>
    <cellStyle name="Uwaga 2 18 8" xfId="37503"/>
    <cellStyle name="Uwaga 2 18 8 2" xfId="37504"/>
    <cellStyle name="Uwaga 2 18 8 3" xfId="37505"/>
    <cellStyle name="Uwaga 2 18 8 4" xfId="37506"/>
    <cellStyle name="Uwaga 2 18 9" xfId="37507"/>
    <cellStyle name="Uwaga 2 18 9 2" xfId="37508"/>
    <cellStyle name="Uwaga 2 18 9 3" xfId="37509"/>
    <cellStyle name="Uwaga 2 18 9 4" xfId="37510"/>
    <cellStyle name="Uwaga 2 19" xfId="37511"/>
    <cellStyle name="Uwaga 2 19 10" xfId="37512"/>
    <cellStyle name="Uwaga 2 19 10 2" xfId="37513"/>
    <cellStyle name="Uwaga 2 19 10 3" xfId="37514"/>
    <cellStyle name="Uwaga 2 19 10 4" xfId="37515"/>
    <cellStyle name="Uwaga 2 19 11" xfId="37516"/>
    <cellStyle name="Uwaga 2 19 11 2" xfId="37517"/>
    <cellStyle name="Uwaga 2 19 11 3" xfId="37518"/>
    <cellStyle name="Uwaga 2 19 11 4" xfId="37519"/>
    <cellStyle name="Uwaga 2 19 12" xfId="37520"/>
    <cellStyle name="Uwaga 2 19 12 2" xfId="37521"/>
    <cellStyle name="Uwaga 2 19 12 3" xfId="37522"/>
    <cellStyle name="Uwaga 2 19 12 4" xfId="37523"/>
    <cellStyle name="Uwaga 2 19 13" xfId="37524"/>
    <cellStyle name="Uwaga 2 19 13 2" xfId="37525"/>
    <cellStyle name="Uwaga 2 19 13 3" xfId="37526"/>
    <cellStyle name="Uwaga 2 19 13 4" xfId="37527"/>
    <cellStyle name="Uwaga 2 19 14" xfId="37528"/>
    <cellStyle name="Uwaga 2 19 14 2" xfId="37529"/>
    <cellStyle name="Uwaga 2 19 14 3" xfId="37530"/>
    <cellStyle name="Uwaga 2 19 14 4" xfId="37531"/>
    <cellStyle name="Uwaga 2 19 15" xfId="37532"/>
    <cellStyle name="Uwaga 2 19 15 2" xfId="37533"/>
    <cellStyle name="Uwaga 2 19 15 3" xfId="37534"/>
    <cellStyle name="Uwaga 2 19 15 4" xfId="37535"/>
    <cellStyle name="Uwaga 2 19 16" xfId="37536"/>
    <cellStyle name="Uwaga 2 19 16 2" xfId="37537"/>
    <cellStyle name="Uwaga 2 19 16 3" xfId="37538"/>
    <cellStyle name="Uwaga 2 19 16 4" xfId="37539"/>
    <cellStyle name="Uwaga 2 19 17" xfId="37540"/>
    <cellStyle name="Uwaga 2 19 17 2" xfId="37541"/>
    <cellStyle name="Uwaga 2 19 17 3" xfId="37542"/>
    <cellStyle name="Uwaga 2 19 17 4" xfId="37543"/>
    <cellStyle name="Uwaga 2 19 18" xfId="37544"/>
    <cellStyle name="Uwaga 2 19 18 2" xfId="37545"/>
    <cellStyle name="Uwaga 2 19 18 3" xfId="37546"/>
    <cellStyle name="Uwaga 2 19 18 4" xfId="37547"/>
    <cellStyle name="Uwaga 2 19 19" xfId="37548"/>
    <cellStyle name="Uwaga 2 19 19 2" xfId="37549"/>
    <cellStyle name="Uwaga 2 19 19 3" xfId="37550"/>
    <cellStyle name="Uwaga 2 19 19 4" xfId="37551"/>
    <cellStyle name="Uwaga 2 19 2" xfId="37552"/>
    <cellStyle name="Uwaga 2 19 2 2" xfId="37553"/>
    <cellStyle name="Uwaga 2 19 2 3" xfId="37554"/>
    <cellStyle name="Uwaga 2 19 2 4" xfId="37555"/>
    <cellStyle name="Uwaga 2 19 20" xfId="37556"/>
    <cellStyle name="Uwaga 2 19 20 2" xfId="37557"/>
    <cellStyle name="Uwaga 2 19 20 3" xfId="37558"/>
    <cellStyle name="Uwaga 2 19 20 4" xfId="37559"/>
    <cellStyle name="Uwaga 2 19 21" xfId="37560"/>
    <cellStyle name="Uwaga 2 19 21 2" xfId="37561"/>
    <cellStyle name="Uwaga 2 19 21 3" xfId="37562"/>
    <cellStyle name="Uwaga 2 19 22" xfId="37563"/>
    <cellStyle name="Uwaga 2 19 22 2" xfId="37564"/>
    <cellStyle name="Uwaga 2 19 22 3" xfId="37565"/>
    <cellStyle name="Uwaga 2 19 23" xfId="37566"/>
    <cellStyle name="Uwaga 2 19 23 2" xfId="37567"/>
    <cellStyle name="Uwaga 2 19 23 3" xfId="37568"/>
    <cellStyle name="Uwaga 2 19 24" xfId="37569"/>
    <cellStyle name="Uwaga 2 19 24 2" xfId="37570"/>
    <cellStyle name="Uwaga 2 19 24 3" xfId="37571"/>
    <cellStyle name="Uwaga 2 19 25" xfId="37572"/>
    <cellStyle name="Uwaga 2 19 25 2" xfId="37573"/>
    <cellStyle name="Uwaga 2 19 25 3" xfId="37574"/>
    <cellStyle name="Uwaga 2 19 26" xfId="37575"/>
    <cellStyle name="Uwaga 2 19 26 2" xfId="37576"/>
    <cellStyle name="Uwaga 2 19 26 3" xfId="37577"/>
    <cellStyle name="Uwaga 2 19 27" xfId="37578"/>
    <cellStyle name="Uwaga 2 19 27 2" xfId="37579"/>
    <cellStyle name="Uwaga 2 19 27 3" xfId="37580"/>
    <cellStyle name="Uwaga 2 19 28" xfId="37581"/>
    <cellStyle name="Uwaga 2 19 28 2" xfId="37582"/>
    <cellStyle name="Uwaga 2 19 28 3" xfId="37583"/>
    <cellStyle name="Uwaga 2 19 29" xfId="37584"/>
    <cellStyle name="Uwaga 2 19 29 2" xfId="37585"/>
    <cellStyle name="Uwaga 2 19 29 3" xfId="37586"/>
    <cellStyle name="Uwaga 2 19 3" xfId="37587"/>
    <cellStyle name="Uwaga 2 19 3 2" xfId="37588"/>
    <cellStyle name="Uwaga 2 19 3 3" xfId="37589"/>
    <cellStyle name="Uwaga 2 19 3 4" xfId="37590"/>
    <cellStyle name="Uwaga 2 19 30" xfId="37591"/>
    <cellStyle name="Uwaga 2 19 30 2" xfId="37592"/>
    <cellStyle name="Uwaga 2 19 30 3" xfId="37593"/>
    <cellStyle name="Uwaga 2 19 31" xfId="37594"/>
    <cellStyle name="Uwaga 2 19 31 2" xfId="37595"/>
    <cellStyle name="Uwaga 2 19 31 3" xfId="37596"/>
    <cellStyle name="Uwaga 2 19 32" xfId="37597"/>
    <cellStyle name="Uwaga 2 19 32 2" xfId="37598"/>
    <cellStyle name="Uwaga 2 19 32 3" xfId="37599"/>
    <cellStyle name="Uwaga 2 19 33" xfId="37600"/>
    <cellStyle name="Uwaga 2 19 33 2" xfId="37601"/>
    <cellStyle name="Uwaga 2 19 33 3" xfId="37602"/>
    <cellStyle name="Uwaga 2 19 34" xfId="37603"/>
    <cellStyle name="Uwaga 2 19 34 2" xfId="37604"/>
    <cellStyle name="Uwaga 2 19 34 3" xfId="37605"/>
    <cellStyle name="Uwaga 2 19 35" xfId="37606"/>
    <cellStyle name="Uwaga 2 19 35 2" xfId="37607"/>
    <cellStyle name="Uwaga 2 19 35 3" xfId="37608"/>
    <cellStyle name="Uwaga 2 19 36" xfId="37609"/>
    <cellStyle name="Uwaga 2 19 36 2" xfId="37610"/>
    <cellStyle name="Uwaga 2 19 36 3" xfId="37611"/>
    <cellStyle name="Uwaga 2 19 37" xfId="37612"/>
    <cellStyle name="Uwaga 2 19 37 2" xfId="37613"/>
    <cellStyle name="Uwaga 2 19 37 3" xfId="37614"/>
    <cellStyle name="Uwaga 2 19 38" xfId="37615"/>
    <cellStyle name="Uwaga 2 19 38 2" xfId="37616"/>
    <cellStyle name="Uwaga 2 19 38 3" xfId="37617"/>
    <cellStyle name="Uwaga 2 19 39" xfId="37618"/>
    <cellStyle name="Uwaga 2 19 39 2" xfId="37619"/>
    <cellStyle name="Uwaga 2 19 39 3" xfId="37620"/>
    <cellStyle name="Uwaga 2 19 4" xfId="37621"/>
    <cellStyle name="Uwaga 2 19 4 2" xfId="37622"/>
    <cellStyle name="Uwaga 2 19 4 3" xfId="37623"/>
    <cellStyle name="Uwaga 2 19 4 4" xfId="37624"/>
    <cellStyle name="Uwaga 2 19 40" xfId="37625"/>
    <cellStyle name="Uwaga 2 19 40 2" xfId="37626"/>
    <cellStyle name="Uwaga 2 19 40 3" xfId="37627"/>
    <cellStyle name="Uwaga 2 19 41" xfId="37628"/>
    <cellStyle name="Uwaga 2 19 41 2" xfId="37629"/>
    <cellStyle name="Uwaga 2 19 41 3" xfId="37630"/>
    <cellStyle name="Uwaga 2 19 42" xfId="37631"/>
    <cellStyle name="Uwaga 2 19 42 2" xfId="37632"/>
    <cellStyle name="Uwaga 2 19 42 3" xfId="37633"/>
    <cellStyle name="Uwaga 2 19 43" xfId="37634"/>
    <cellStyle name="Uwaga 2 19 43 2" xfId="37635"/>
    <cellStyle name="Uwaga 2 19 43 3" xfId="37636"/>
    <cellStyle name="Uwaga 2 19 44" xfId="37637"/>
    <cellStyle name="Uwaga 2 19 44 2" xfId="37638"/>
    <cellStyle name="Uwaga 2 19 44 3" xfId="37639"/>
    <cellStyle name="Uwaga 2 19 45" xfId="37640"/>
    <cellStyle name="Uwaga 2 19 45 2" xfId="37641"/>
    <cellStyle name="Uwaga 2 19 45 3" xfId="37642"/>
    <cellStyle name="Uwaga 2 19 46" xfId="37643"/>
    <cellStyle name="Uwaga 2 19 46 2" xfId="37644"/>
    <cellStyle name="Uwaga 2 19 46 3" xfId="37645"/>
    <cellStyle name="Uwaga 2 19 47" xfId="37646"/>
    <cellStyle name="Uwaga 2 19 47 2" xfId="37647"/>
    <cellStyle name="Uwaga 2 19 47 3" xfId="37648"/>
    <cellStyle name="Uwaga 2 19 48" xfId="37649"/>
    <cellStyle name="Uwaga 2 19 48 2" xfId="37650"/>
    <cellStyle name="Uwaga 2 19 48 3" xfId="37651"/>
    <cellStyle name="Uwaga 2 19 49" xfId="37652"/>
    <cellStyle name="Uwaga 2 19 49 2" xfId="37653"/>
    <cellStyle name="Uwaga 2 19 49 3" xfId="37654"/>
    <cellStyle name="Uwaga 2 19 5" xfId="37655"/>
    <cellStyle name="Uwaga 2 19 5 2" xfId="37656"/>
    <cellStyle name="Uwaga 2 19 5 3" xfId="37657"/>
    <cellStyle name="Uwaga 2 19 5 4" xfId="37658"/>
    <cellStyle name="Uwaga 2 19 50" xfId="37659"/>
    <cellStyle name="Uwaga 2 19 50 2" xfId="37660"/>
    <cellStyle name="Uwaga 2 19 50 3" xfId="37661"/>
    <cellStyle name="Uwaga 2 19 51" xfId="37662"/>
    <cellStyle name="Uwaga 2 19 51 2" xfId="37663"/>
    <cellStyle name="Uwaga 2 19 51 3" xfId="37664"/>
    <cellStyle name="Uwaga 2 19 52" xfId="37665"/>
    <cellStyle name="Uwaga 2 19 52 2" xfId="37666"/>
    <cellStyle name="Uwaga 2 19 52 3" xfId="37667"/>
    <cellStyle name="Uwaga 2 19 53" xfId="37668"/>
    <cellStyle name="Uwaga 2 19 53 2" xfId="37669"/>
    <cellStyle name="Uwaga 2 19 53 3" xfId="37670"/>
    <cellStyle name="Uwaga 2 19 54" xfId="37671"/>
    <cellStyle name="Uwaga 2 19 54 2" xfId="37672"/>
    <cellStyle name="Uwaga 2 19 54 3" xfId="37673"/>
    <cellStyle name="Uwaga 2 19 55" xfId="37674"/>
    <cellStyle name="Uwaga 2 19 55 2" xfId="37675"/>
    <cellStyle name="Uwaga 2 19 55 3" xfId="37676"/>
    <cellStyle name="Uwaga 2 19 56" xfId="37677"/>
    <cellStyle name="Uwaga 2 19 56 2" xfId="37678"/>
    <cellStyle name="Uwaga 2 19 56 3" xfId="37679"/>
    <cellStyle name="Uwaga 2 19 57" xfId="37680"/>
    <cellStyle name="Uwaga 2 19 58" xfId="37681"/>
    <cellStyle name="Uwaga 2 19 6" xfId="37682"/>
    <cellStyle name="Uwaga 2 19 6 2" xfId="37683"/>
    <cellStyle name="Uwaga 2 19 6 3" xfId="37684"/>
    <cellStyle name="Uwaga 2 19 6 4" xfId="37685"/>
    <cellStyle name="Uwaga 2 19 7" xfId="37686"/>
    <cellStyle name="Uwaga 2 19 7 2" xfId="37687"/>
    <cellStyle name="Uwaga 2 19 7 3" xfId="37688"/>
    <cellStyle name="Uwaga 2 19 7 4" xfId="37689"/>
    <cellStyle name="Uwaga 2 19 8" xfId="37690"/>
    <cellStyle name="Uwaga 2 19 8 2" xfId="37691"/>
    <cellStyle name="Uwaga 2 19 8 3" xfId="37692"/>
    <cellStyle name="Uwaga 2 19 8 4" xfId="37693"/>
    <cellStyle name="Uwaga 2 19 9" xfId="37694"/>
    <cellStyle name="Uwaga 2 19 9 2" xfId="37695"/>
    <cellStyle name="Uwaga 2 19 9 3" xfId="37696"/>
    <cellStyle name="Uwaga 2 19 9 4" xfId="37697"/>
    <cellStyle name="Uwaga 2 2" xfId="37698"/>
    <cellStyle name="Uwaga 2 2 10" xfId="37699"/>
    <cellStyle name="Uwaga 2 2 10 2" xfId="37700"/>
    <cellStyle name="Uwaga 2 2 10 3" xfId="37701"/>
    <cellStyle name="Uwaga 2 2 10 4" xfId="37702"/>
    <cellStyle name="Uwaga 2 2 11" xfId="37703"/>
    <cellStyle name="Uwaga 2 2 11 2" xfId="37704"/>
    <cellStyle name="Uwaga 2 2 11 3" xfId="37705"/>
    <cellStyle name="Uwaga 2 2 11 4" xfId="37706"/>
    <cellStyle name="Uwaga 2 2 12" xfId="37707"/>
    <cellStyle name="Uwaga 2 2 12 2" xfId="37708"/>
    <cellStyle name="Uwaga 2 2 12 3" xfId="37709"/>
    <cellStyle name="Uwaga 2 2 12 4" xfId="37710"/>
    <cellStyle name="Uwaga 2 2 13" xfId="37711"/>
    <cellStyle name="Uwaga 2 2 13 2" xfId="37712"/>
    <cellStyle name="Uwaga 2 2 13 3" xfId="37713"/>
    <cellStyle name="Uwaga 2 2 13 4" xfId="37714"/>
    <cellStyle name="Uwaga 2 2 14" xfId="37715"/>
    <cellStyle name="Uwaga 2 2 14 2" xfId="37716"/>
    <cellStyle name="Uwaga 2 2 14 3" xfId="37717"/>
    <cellStyle name="Uwaga 2 2 14 4" xfId="37718"/>
    <cellStyle name="Uwaga 2 2 15" xfId="37719"/>
    <cellStyle name="Uwaga 2 2 15 2" xfId="37720"/>
    <cellStyle name="Uwaga 2 2 15 3" xfId="37721"/>
    <cellStyle name="Uwaga 2 2 15 4" xfId="37722"/>
    <cellStyle name="Uwaga 2 2 16" xfId="37723"/>
    <cellStyle name="Uwaga 2 2 16 2" xfId="37724"/>
    <cellStyle name="Uwaga 2 2 16 3" xfId="37725"/>
    <cellStyle name="Uwaga 2 2 16 4" xfId="37726"/>
    <cellStyle name="Uwaga 2 2 17" xfId="37727"/>
    <cellStyle name="Uwaga 2 2 17 2" xfId="37728"/>
    <cellStyle name="Uwaga 2 2 17 3" xfId="37729"/>
    <cellStyle name="Uwaga 2 2 17 4" xfId="37730"/>
    <cellStyle name="Uwaga 2 2 18" xfId="37731"/>
    <cellStyle name="Uwaga 2 2 18 2" xfId="37732"/>
    <cellStyle name="Uwaga 2 2 18 3" xfId="37733"/>
    <cellStyle name="Uwaga 2 2 18 4" xfId="37734"/>
    <cellStyle name="Uwaga 2 2 19" xfId="37735"/>
    <cellStyle name="Uwaga 2 2 19 2" xfId="37736"/>
    <cellStyle name="Uwaga 2 2 19 3" xfId="37737"/>
    <cellStyle name="Uwaga 2 2 19 4" xfId="37738"/>
    <cellStyle name="Uwaga 2 2 2" xfId="37739"/>
    <cellStyle name="Uwaga 2 2 2 2" xfId="37740"/>
    <cellStyle name="Uwaga 2 2 2 3" xfId="37741"/>
    <cellStyle name="Uwaga 2 2 2 4" xfId="37742"/>
    <cellStyle name="Uwaga 2 2 20" xfId="37743"/>
    <cellStyle name="Uwaga 2 2 20 2" xfId="37744"/>
    <cellStyle name="Uwaga 2 2 20 3" xfId="37745"/>
    <cellStyle name="Uwaga 2 2 20 4" xfId="37746"/>
    <cellStyle name="Uwaga 2 2 21" xfId="37747"/>
    <cellStyle name="Uwaga 2 2 21 2" xfId="37748"/>
    <cellStyle name="Uwaga 2 2 21 3" xfId="37749"/>
    <cellStyle name="Uwaga 2 2 22" xfId="37750"/>
    <cellStyle name="Uwaga 2 2 22 2" xfId="37751"/>
    <cellStyle name="Uwaga 2 2 22 3" xfId="37752"/>
    <cellStyle name="Uwaga 2 2 23" xfId="37753"/>
    <cellStyle name="Uwaga 2 2 23 2" xfId="37754"/>
    <cellStyle name="Uwaga 2 2 23 3" xfId="37755"/>
    <cellStyle name="Uwaga 2 2 24" xfId="37756"/>
    <cellStyle name="Uwaga 2 2 24 2" xfId="37757"/>
    <cellStyle name="Uwaga 2 2 24 3" xfId="37758"/>
    <cellStyle name="Uwaga 2 2 25" xfId="37759"/>
    <cellStyle name="Uwaga 2 2 25 2" xfId="37760"/>
    <cellStyle name="Uwaga 2 2 25 3" xfId="37761"/>
    <cellStyle name="Uwaga 2 2 26" xfId="37762"/>
    <cellStyle name="Uwaga 2 2 26 2" xfId="37763"/>
    <cellStyle name="Uwaga 2 2 26 3" xfId="37764"/>
    <cellStyle name="Uwaga 2 2 27" xfId="37765"/>
    <cellStyle name="Uwaga 2 2 27 2" xfId="37766"/>
    <cellStyle name="Uwaga 2 2 27 3" xfId="37767"/>
    <cellStyle name="Uwaga 2 2 28" xfId="37768"/>
    <cellStyle name="Uwaga 2 2 28 2" xfId="37769"/>
    <cellStyle name="Uwaga 2 2 28 3" xfId="37770"/>
    <cellStyle name="Uwaga 2 2 29" xfId="37771"/>
    <cellStyle name="Uwaga 2 2 29 2" xfId="37772"/>
    <cellStyle name="Uwaga 2 2 29 3" xfId="37773"/>
    <cellStyle name="Uwaga 2 2 3" xfId="37774"/>
    <cellStyle name="Uwaga 2 2 3 2" xfId="37775"/>
    <cellStyle name="Uwaga 2 2 3 3" xfId="37776"/>
    <cellStyle name="Uwaga 2 2 3 4" xfId="37777"/>
    <cellStyle name="Uwaga 2 2 30" xfId="37778"/>
    <cellStyle name="Uwaga 2 2 30 2" xfId="37779"/>
    <cellStyle name="Uwaga 2 2 30 3" xfId="37780"/>
    <cellStyle name="Uwaga 2 2 31" xfId="37781"/>
    <cellStyle name="Uwaga 2 2 31 2" xfId="37782"/>
    <cellStyle name="Uwaga 2 2 31 3" xfId="37783"/>
    <cellStyle name="Uwaga 2 2 32" xfId="37784"/>
    <cellStyle name="Uwaga 2 2 32 2" xfId="37785"/>
    <cellStyle name="Uwaga 2 2 32 3" xfId="37786"/>
    <cellStyle name="Uwaga 2 2 33" xfId="37787"/>
    <cellStyle name="Uwaga 2 2 33 2" xfId="37788"/>
    <cellStyle name="Uwaga 2 2 33 3" xfId="37789"/>
    <cellStyle name="Uwaga 2 2 34" xfId="37790"/>
    <cellStyle name="Uwaga 2 2 34 2" xfId="37791"/>
    <cellStyle name="Uwaga 2 2 34 3" xfId="37792"/>
    <cellStyle name="Uwaga 2 2 35" xfId="37793"/>
    <cellStyle name="Uwaga 2 2 35 2" xfId="37794"/>
    <cellStyle name="Uwaga 2 2 35 3" xfId="37795"/>
    <cellStyle name="Uwaga 2 2 36" xfId="37796"/>
    <cellStyle name="Uwaga 2 2 36 2" xfId="37797"/>
    <cellStyle name="Uwaga 2 2 36 3" xfId="37798"/>
    <cellStyle name="Uwaga 2 2 37" xfId="37799"/>
    <cellStyle name="Uwaga 2 2 37 2" xfId="37800"/>
    <cellStyle name="Uwaga 2 2 37 3" xfId="37801"/>
    <cellStyle name="Uwaga 2 2 38" xfId="37802"/>
    <cellStyle name="Uwaga 2 2 38 2" xfId="37803"/>
    <cellStyle name="Uwaga 2 2 38 3" xfId="37804"/>
    <cellStyle name="Uwaga 2 2 39" xfId="37805"/>
    <cellStyle name="Uwaga 2 2 39 2" xfId="37806"/>
    <cellStyle name="Uwaga 2 2 39 3" xfId="37807"/>
    <cellStyle name="Uwaga 2 2 4" xfId="37808"/>
    <cellStyle name="Uwaga 2 2 4 2" xfId="37809"/>
    <cellStyle name="Uwaga 2 2 4 3" xfId="37810"/>
    <cellStyle name="Uwaga 2 2 4 4" xfId="37811"/>
    <cellStyle name="Uwaga 2 2 40" xfId="37812"/>
    <cellStyle name="Uwaga 2 2 40 2" xfId="37813"/>
    <cellStyle name="Uwaga 2 2 40 3" xfId="37814"/>
    <cellStyle name="Uwaga 2 2 41" xfId="37815"/>
    <cellStyle name="Uwaga 2 2 41 2" xfId="37816"/>
    <cellStyle name="Uwaga 2 2 41 3" xfId="37817"/>
    <cellStyle name="Uwaga 2 2 42" xfId="37818"/>
    <cellStyle name="Uwaga 2 2 42 2" xfId="37819"/>
    <cellStyle name="Uwaga 2 2 42 3" xfId="37820"/>
    <cellStyle name="Uwaga 2 2 43" xfId="37821"/>
    <cellStyle name="Uwaga 2 2 43 2" xfId="37822"/>
    <cellStyle name="Uwaga 2 2 43 3" xfId="37823"/>
    <cellStyle name="Uwaga 2 2 44" xfId="37824"/>
    <cellStyle name="Uwaga 2 2 44 2" xfId="37825"/>
    <cellStyle name="Uwaga 2 2 44 3" xfId="37826"/>
    <cellStyle name="Uwaga 2 2 45" xfId="37827"/>
    <cellStyle name="Uwaga 2 2 45 2" xfId="37828"/>
    <cellStyle name="Uwaga 2 2 45 3" xfId="37829"/>
    <cellStyle name="Uwaga 2 2 46" xfId="37830"/>
    <cellStyle name="Uwaga 2 2 46 2" xfId="37831"/>
    <cellStyle name="Uwaga 2 2 46 3" xfId="37832"/>
    <cellStyle name="Uwaga 2 2 47" xfId="37833"/>
    <cellStyle name="Uwaga 2 2 47 2" xfId="37834"/>
    <cellStyle name="Uwaga 2 2 47 3" xfId="37835"/>
    <cellStyle name="Uwaga 2 2 48" xfId="37836"/>
    <cellStyle name="Uwaga 2 2 48 2" xfId="37837"/>
    <cellStyle name="Uwaga 2 2 48 3" xfId="37838"/>
    <cellStyle name="Uwaga 2 2 49" xfId="37839"/>
    <cellStyle name="Uwaga 2 2 49 2" xfId="37840"/>
    <cellStyle name="Uwaga 2 2 49 3" xfId="37841"/>
    <cellStyle name="Uwaga 2 2 5" xfId="37842"/>
    <cellStyle name="Uwaga 2 2 5 2" xfId="37843"/>
    <cellStyle name="Uwaga 2 2 5 3" xfId="37844"/>
    <cellStyle name="Uwaga 2 2 5 4" xfId="37845"/>
    <cellStyle name="Uwaga 2 2 50" xfId="37846"/>
    <cellStyle name="Uwaga 2 2 50 2" xfId="37847"/>
    <cellStyle name="Uwaga 2 2 50 3" xfId="37848"/>
    <cellStyle name="Uwaga 2 2 51" xfId="37849"/>
    <cellStyle name="Uwaga 2 2 51 2" xfId="37850"/>
    <cellStyle name="Uwaga 2 2 51 3" xfId="37851"/>
    <cellStyle name="Uwaga 2 2 52" xfId="37852"/>
    <cellStyle name="Uwaga 2 2 52 2" xfId="37853"/>
    <cellStyle name="Uwaga 2 2 52 3" xfId="37854"/>
    <cellStyle name="Uwaga 2 2 53" xfId="37855"/>
    <cellStyle name="Uwaga 2 2 53 2" xfId="37856"/>
    <cellStyle name="Uwaga 2 2 53 3" xfId="37857"/>
    <cellStyle name="Uwaga 2 2 54" xfId="37858"/>
    <cellStyle name="Uwaga 2 2 54 2" xfId="37859"/>
    <cellStyle name="Uwaga 2 2 54 3" xfId="37860"/>
    <cellStyle name="Uwaga 2 2 55" xfId="37861"/>
    <cellStyle name="Uwaga 2 2 55 2" xfId="37862"/>
    <cellStyle name="Uwaga 2 2 55 3" xfId="37863"/>
    <cellStyle name="Uwaga 2 2 56" xfId="37864"/>
    <cellStyle name="Uwaga 2 2 56 2" xfId="37865"/>
    <cellStyle name="Uwaga 2 2 56 3" xfId="37866"/>
    <cellStyle name="Uwaga 2 2 57" xfId="37867"/>
    <cellStyle name="Uwaga 2 2 58" xfId="37868"/>
    <cellStyle name="Uwaga 2 2 59" xfId="37869"/>
    <cellStyle name="Uwaga 2 2 6" xfId="37870"/>
    <cellStyle name="Uwaga 2 2 6 2" xfId="37871"/>
    <cellStyle name="Uwaga 2 2 6 3" xfId="37872"/>
    <cellStyle name="Uwaga 2 2 6 4" xfId="37873"/>
    <cellStyle name="Uwaga 2 2 7" xfId="37874"/>
    <cellStyle name="Uwaga 2 2 7 2" xfId="37875"/>
    <cellStyle name="Uwaga 2 2 7 3" xfId="37876"/>
    <cellStyle name="Uwaga 2 2 7 4" xfId="37877"/>
    <cellStyle name="Uwaga 2 2 8" xfId="37878"/>
    <cellStyle name="Uwaga 2 2 8 2" xfId="37879"/>
    <cellStyle name="Uwaga 2 2 8 3" xfId="37880"/>
    <cellStyle name="Uwaga 2 2 8 4" xfId="37881"/>
    <cellStyle name="Uwaga 2 2 9" xfId="37882"/>
    <cellStyle name="Uwaga 2 2 9 2" xfId="37883"/>
    <cellStyle name="Uwaga 2 2 9 3" xfId="37884"/>
    <cellStyle name="Uwaga 2 2 9 4" xfId="37885"/>
    <cellStyle name="Uwaga 2 20" xfId="37886"/>
    <cellStyle name="Uwaga 2 20 10" xfId="37887"/>
    <cellStyle name="Uwaga 2 20 10 2" xfId="37888"/>
    <cellStyle name="Uwaga 2 20 10 3" xfId="37889"/>
    <cellStyle name="Uwaga 2 20 10 4" xfId="37890"/>
    <cellStyle name="Uwaga 2 20 11" xfId="37891"/>
    <cellStyle name="Uwaga 2 20 11 2" xfId="37892"/>
    <cellStyle name="Uwaga 2 20 11 3" xfId="37893"/>
    <cellStyle name="Uwaga 2 20 11 4" xfId="37894"/>
    <cellStyle name="Uwaga 2 20 12" xfId="37895"/>
    <cellStyle name="Uwaga 2 20 12 2" xfId="37896"/>
    <cellStyle name="Uwaga 2 20 12 3" xfId="37897"/>
    <cellStyle name="Uwaga 2 20 12 4" xfId="37898"/>
    <cellStyle name="Uwaga 2 20 13" xfId="37899"/>
    <cellStyle name="Uwaga 2 20 13 2" xfId="37900"/>
    <cellStyle name="Uwaga 2 20 13 3" xfId="37901"/>
    <cellStyle name="Uwaga 2 20 13 4" xfId="37902"/>
    <cellStyle name="Uwaga 2 20 14" xfId="37903"/>
    <cellStyle name="Uwaga 2 20 14 2" xfId="37904"/>
    <cellStyle name="Uwaga 2 20 14 3" xfId="37905"/>
    <cellStyle name="Uwaga 2 20 14 4" xfId="37906"/>
    <cellStyle name="Uwaga 2 20 15" xfId="37907"/>
    <cellStyle name="Uwaga 2 20 15 2" xfId="37908"/>
    <cellStyle name="Uwaga 2 20 15 3" xfId="37909"/>
    <cellStyle name="Uwaga 2 20 15 4" xfId="37910"/>
    <cellStyle name="Uwaga 2 20 16" xfId="37911"/>
    <cellStyle name="Uwaga 2 20 16 2" xfId="37912"/>
    <cellStyle name="Uwaga 2 20 16 3" xfId="37913"/>
    <cellStyle name="Uwaga 2 20 16 4" xfId="37914"/>
    <cellStyle name="Uwaga 2 20 17" xfId="37915"/>
    <cellStyle name="Uwaga 2 20 17 2" xfId="37916"/>
    <cellStyle name="Uwaga 2 20 17 3" xfId="37917"/>
    <cellStyle name="Uwaga 2 20 17 4" xfId="37918"/>
    <cellStyle name="Uwaga 2 20 18" xfId="37919"/>
    <cellStyle name="Uwaga 2 20 18 2" xfId="37920"/>
    <cellStyle name="Uwaga 2 20 18 3" xfId="37921"/>
    <cellStyle name="Uwaga 2 20 18 4" xfId="37922"/>
    <cellStyle name="Uwaga 2 20 19" xfId="37923"/>
    <cellStyle name="Uwaga 2 20 19 2" xfId="37924"/>
    <cellStyle name="Uwaga 2 20 19 3" xfId="37925"/>
    <cellStyle name="Uwaga 2 20 19 4" xfId="37926"/>
    <cellStyle name="Uwaga 2 20 2" xfId="37927"/>
    <cellStyle name="Uwaga 2 20 2 2" xfId="37928"/>
    <cellStyle name="Uwaga 2 20 2 3" xfId="37929"/>
    <cellStyle name="Uwaga 2 20 2 4" xfId="37930"/>
    <cellStyle name="Uwaga 2 20 20" xfId="37931"/>
    <cellStyle name="Uwaga 2 20 20 2" xfId="37932"/>
    <cellStyle name="Uwaga 2 20 20 3" xfId="37933"/>
    <cellStyle name="Uwaga 2 20 20 4" xfId="37934"/>
    <cellStyle name="Uwaga 2 20 21" xfId="37935"/>
    <cellStyle name="Uwaga 2 20 21 2" xfId="37936"/>
    <cellStyle name="Uwaga 2 20 21 3" xfId="37937"/>
    <cellStyle name="Uwaga 2 20 22" xfId="37938"/>
    <cellStyle name="Uwaga 2 20 22 2" xfId="37939"/>
    <cellStyle name="Uwaga 2 20 22 3" xfId="37940"/>
    <cellStyle name="Uwaga 2 20 23" xfId="37941"/>
    <cellStyle name="Uwaga 2 20 23 2" xfId="37942"/>
    <cellStyle name="Uwaga 2 20 23 3" xfId="37943"/>
    <cellStyle name="Uwaga 2 20 24" xfId="37944"/>
    <cellStyle name="Uwaga 2 20 24 2" xfId="37945"/>
    <cellStyle name="Uwaga 2 20 24 3" xfId="37946"/>
    <cellStyle name="Uwaga 2 20 25" xfId="37947"/>
    <cellStyle name="Uwaga 2 20 25 2" xfId="37948"/>
    <cellStyle name="Uwaga 2 20 25 3" xfId="37949"/>
    <cellStyle name="Uwaga 2 20 26" xfId="37950"/>
    <cellStyle name="Uwaga 2 20 26 2" xfId="37951"/>
    <cellStyle name="Uwaga 2 20 26 3" xfId="37952"/>
    <cellStyle name="Uwaga 2 20 27" xfId="37953"/>
    <cellStyle name="Uwaga 2 20 27 2" xfId="37954"/>
    <cellStyle name="Uwaga 2 20 27 3" xfId="37955"/>
    <cellStyle name="Uwaga 2 20 28" xfId="37956"/>
    <cellStyle name="Uwaga 2 20 28 2" xfId="37957"/>
    <cellStyle name="Uwaga 2 20 28 3" xfId="37958"/>
    <cellStyle name="Uwaga 2 20 29" xfId="37959"/>
    <cellStyle name="Uwaga 2 20 29 2" xfId="37960"/>
    <cellStyle name="Uwaga 2 20 29 3" xfId="37961"/>
    <cellStyle name="Uwaga 2 20 3" xfId="37962"/>
    <cellStyle name="Uwaga 2 20 3 2" xfId="37963"/>
    <cellStyle name="Uwaga 2 20 3 3" xfId="37964"/>
    <cellStyle name="Uwaga 2 20 3 4" xfId="37965"/>
    <cellStyle name="Uwaga 2 20 30" xfId="37966"/>
    <cellStyle name="Uwaga 2 20 30 2" xfId="37967"/>
    <cellStyle name="Uwaga 2 20 30 3" xfId="37968"/>
    <cellStyle name="Uwaga 2 20 31" xfId="37969"/>
    <cellStyle name="Uwaga 2 20 31 2" xfId="37970"/>
    <cellStyle name="Uwaga 2 20 31 3" xfId="37971"/>
    <cellStyle name="Uwaga 2 20 32" xfId="37972"/>
    <cellStyle name="Uwaga 2 20 32 2" xfId="37973"/>
    <cellStyle name="Uwaga 2 20 32 3" xfId="37974"/>
    <cellStyle name="Uwaga 2 20 33" xfId="37975"/>
    <cellStyle name="Uwaga 2 20 33 2" xfId="37976"/>
    <cellStyle name="Uwaga 2 20 33 3" xfId="37977"/>
    <cellStyle name="Uwaga 2 20 34" xfId="37978"/>
    <cellStyle name="Uwaga 2 20 34 2" xfId="37979"/>
    <cellStyle name="Uwaga 2 20 34 3" xfId="37980"/>
    <cellStyle name="Uwaga 2 20 35" xfId="37981"/>
    <cellStyle name="Uwaga 2 20 35 2" xfId="37982"/>
    <cellStyle name="Uwaga 2 20 35 3" xfId="37983"/>
    <cellStyle name="Uwaga 2 20 36" xfId="37984"/>
    <cellStyle name="Uwaga 2 20 36 2" xfId="37985"/>
    <cellStyle name="Uwaga 2 20 36 3" xfId="37986"/>
    <cellStyle name="Uwaga 2 20 37" xfId="37987"/>
    <cellStyle name="Uwaga 2 20 37 2" xfId="37988"/>
    <cellStyle name="Uwaga 2 20 37 3" xfId="37989"/>
    <cellStyle name="Uwaga 2 20 38" xfId="37990"/>
    <cellStyle name="Uwaga 2 20 38 2" xfId="37991"/>
    <cellStyle name="Uwaga 2 20 38 3" xfId="37992"/>
    <cellStyle name="Uwaga 2 20 39" xfId="37993"/>
    <cellStyle name="Uwaga 2 20 39 2" xfId="37994"/>
    <cellStyle name="Uwaga 2 20 39 3" xfId="37995"/>
    <cellStyle name="Uwaga 2 20 4" xfId="37996"/>
    <cellStyle name="Uwaga 2 20 4 2" xfId="37997"/>
    <cellStyle name="Uwaga 2 20 4 3" xfId="37998"/>
    <cellStyle name="Uwaga 2 20 4 4" xfId="37999"/>
    <cellStyle name="Uwaga 2 20 40" xfId="38000"/>
    <cellStyle name="Uwaga 2 20 40 2" xfId="38001"/>
    <cellStyle name="Uwaga 2 20 40 3" xfId="38002"/>
    <cellStyle name="Uwaga 2 20 41" xfId="38003"/>
    <cellStyle name="Uwaga 2 20 41 2" xfId="38004"/>
    <cellStyle name="Uwaga 2 20 41 3" xfId="38005"/>
    <cellStyle name="Uwaga 2 20 42" xfId="38006"/>
    <cellStyle name="Uwaga 2 20 42 2" xfId="38007"/>
    <cellStyle name="Uwaga 2 20 42 3" xfId="38008"/>
    <cellStyle name="Uwaga 2 20 43" xfId="38009"/>
    <cellStyle name="Uwaga 2 20 43 2" xfId="38010"/>
    <cellStyle name="Uwaga 2 20 43 3" xfId="38011"/>
    <cellStyle name="Uwaga 2 20 44" xfId="38012"/>
    <cellStyle name="Uwaga 2 20 44 2" xfId="38013"/>
    <cellStyle name="Uwaga 2 20 44 3" xfId="38014"/>
    <cellStyle name="Uwaga 2 20 45" xfId="38015"/>
    <cellStyle name="Uwaga 2 20 45 2" xfId="38016"/>
    <cellStyle name="Uwaga 2 20 45 3" xfId="38017"/>
    <cellStyle name="Uwaga 2 20 46" xfId="38018"/>
    <cellStyle name="Uwaga 2 20 46 2" xfId="38019"/>
    <cellStyle name="Uwaga 2 20 46 3" xfId="38020"/>
    <cellStyle name="Uwaga 2 20 47" xfId="38021"/>
    <cellStyle name="Uwaga 2 20 47 2" xfId="38022"/>
    <cellStyle name="Uwaga 2 20 47 3" xfId="38023"/>
    <cellStyle name="Uwaga 2 20 48" xfId="38024"/>
    <cellStyle name="Uwaga 2 20 48 2" xfId="38025"/>
    <cellStyle name="Uwaga 2 20 48 3" xfId="38026"/>
    <cellStyle name="Uwaga 2 20 49" xfId="38027"/>
    <cellStyle name="Uwaga 2 20 49 2" xfId="38028"/>
    <cellStyle name="Uwaga 2 20 49 3" xfId="38029"/>
    <cellStyle name="Uwaga 2 20 5" xfId="38030"/>
    <cellStyle name="Uwaga 2 20 5 2" xfId="38031"/>
    <cellStyle name="Uwaga 2 20 5 3" xfId="38032"/>
    <cellStyle name="Uwaga 2 20 5 4" xfId="38033"/>
    <cellStyle name="Uwaga 2 20 50" xfId="38034"/>
    <cellStyle name="Uwaga 2 20 50 2" xfId="38035"/>
    <cellStyle name="Uwaga 2 20 50 3" xfId="38036"/>
    <cellStyle name="Uwaga 2 20 51" xfId="38037"/>
    <cellStyle name="Uwaga 2 20 51 2" xfId="38038"/>
    <cellStyle name="Uwaga 2 20 51 3" xfId="38039"/>
    <cellStyle name="Uwaga 2 20 52" xfId="38040"/>
    <cellStyle name="Uwaga 2 20 52 2" xfId="38041"/>
    <cellStyle name="Uwaga 2 20 52 3" xfId="38042"/>
    <cellStyle name="Uwaga 2 20 53" xfId="38043"/>
    <cellStyle name="Uwaga 2 20 53 2" xfId="38044"/>
    <cellStyle name="Uwaga 2 20 53 3" xfId="38045"/>
    <cellStyle name="Uwaga 2 20 54" xfId="38046"/>
    <cellStyle name="Uwaga 2 20 54 2" xfId="38047"/>
    <cellStyle name="Uwaga 2 20 54 3" xfId="38048"/>
    <cellStyle name="Uwaga 2 20 55" xfId="38049"/>
    <cellStyle name="Uwaga 2 20 55 2" xfId="38050"/>
    <cellStyle name="Uwaga 2 20 55 3" xfId="38051"/>
    <cellStyle name="Uwaga 2 20 56" xfId="38052"/>
    <cellStyle name="Uwaga 2 20 56 2" xfId="38053"/>
    <cellStyle name="Uwaga 2 20 56 3" xfId="38054"/>
    <cellStyle name="Uwaga 2 20 57" xfId="38055"/>
    <cellStyle name="Uwaga 2 20 58" xfId="38056"/>
    <cellStyle name="Uwaga 2 20 6" xfId="38057"/>
    <cellStyle name="Uwaga 2 20 6 2" xfId="38058"/>
    <cellStyle name="Uwaga 2 20 6 3" xfId="38059"/>
    <cellStyle name="Uwaga 2 20 6 4" xfId="38060"/>
    <cellStyle name="Uwaga 2 20 7" xfId="38061"/>
    <cellStyle name="Uwaga 2 20 7 2" xfId="38062"/>
    <cellStyle name="Uwaga 2 20 7 3" xfId="38063"/>
    <cellStyle name="Uwaga 2 20 7 4" xfId="38064"/>
    <cellStyle name="Uwaga 2 20 8" xfId="38065"/>
    <cellStyle name="Uwaga 2 20 8 2" xfId="38066"/>
    <cellStyle name="Uwaga 2 20 8 3" xfId="38067"/>
    <cellStyle name="Uwaga 2 20 8 4" xfId="38068"/>
    <cellStyle name="Uwaga 2 20 9" xfId="38069"/>
    <cellStyle name="Uwaga 2 20 9 2" xfId="38070"/>
    <cellStyle name="Uwaga 2 20 9 3" xfId="38071"/>
    <cellStyle name="Uwaga 2 20 9 4" xfId="38072"/>
    <cellStyle name="Uwaga 2 21" xfId="38073"/>
    <cellStyle name="Uwaga 2 21 10" xfId="38074"/>
    <cellStyle name="Uwaga 2 21 10 2" xfId="38075"/>
    <cellStyle name="Uwaga 2 21 10 3" xfId="38076"/>
    <cellStyle name="Uwaga 2 21 10 4" xfId="38077"/>
    <cellStyle name="Uwaga 2 21 11" xfId="38078"/>
    <cellStyle name="Uwaga 2 21 11 2" xfId="38079"/>
    <cellStyle name="Uwaga 2 21 11 3" xfId="38080"/>
    <cellStyle name="Uwaga 2 21 11 4" xfId="38081"/>
    <cellStyle name="Uwaga 2 21 12" xfId="38082"/>
    <cellStyle name="Uwaga 2 21 12 2" xfId="38083"/>
    <cellStyle name="Uwaga 2 21 12 3" xfId="38084"/>
    <cellStyle name="Uwaga 2 21 12 4" xfId="38085"/>
    <cellStyle name="Uwaga 2 21 13" xfId="38086"/>
    <cellStyle name="Uwaga 2 21 13 2" xfId="38087"/>
    <cellStyle name="Uwaga 2 21 13 3" xfId="38088"/>
    <cellStyle name="Uwaga 2 21 13 4" xfId="38089"/>
    <cellStyle name="Uwaga 2 21 14" xfId="38090"/>
    <cellStyle name="Uwaga 2 21 14 2" xfId="38091"/>
    <cellStyle name="Uwaga 2 21 14 3" xfId="38092"/>
    <cellStyle name="Uwaga 2 21 14 4" xfId="38093"/>
    <cellStyle name="Uwaga 2 21 15" xfId="38094"/>
    <cellStyle name="Uwaga 2 21 15 2" xfId="38095"/>
    <cellStyle name="Uwaga 2 21 15 3" xfId="38096"/>
    <cellStyle name="Uwaga 2 21 15 4" xfId="38097"/>
    <cellStyle name="Uwaga 2 21 16" xfId="38098"/>
    <cellStyle name="Uwaga 2 21 16 2" xfId="38099"/>
    <cellStyle name="Uwaga 2 21 16 3" xfId="38100"/>
    <cellStyle name="Uwaga 2 21 16 4" xfId="38101"/>
    <cellStyle name="Uwaga 2 21 17" xfId="38102"/>
    <cellStyle name="Uwaga 2 21 17 2" xfId="38103"/>
    <cellStyle name="Uwaga 2 21 17 3" xfId="38104"/>
    <cellStyle name="Uwaga 2 21 17 4" xfId="38105"/>
    <cellStyle name="Uwaga 2 21 18" xfId="38106"/>
    <cellStyle name="Uwaga 2 21 18 2" xfId="38107"/>
    <cellStyle name="Uwaga 2 21 18 3" xfId="38108"/>
    <cellStyle name="Uwaga 2 21 18 4" xfId="38109"/>
    <cellStyle name="Uwaga 2 21 19" xfId="38110"/>
    <cellStyle name="Uwaga 2 21 19 2" xfId="38111"/>
    <cellStyle name="Uwaga 2 21 19 3" xfId="38112"/>
    <cellStyle name="Uwaga 2 21 19 4" xfId="38113"/>
    <cellStyle name="Uwaga 2 21 2" xfId="38114"/>
    <cellStyle name="Uwaga 2 21 2 2" xfId="38115"/>
    <cellStyle name="Uwaga 2 21 2 3" xfId="38116"/>
    <cellStyle name="Uwaga 2 21 2 4" xfId="38117"/>
    <cellStyle name="Uwaga 2 21 20" xfId="38118"/>
    <cellStyle name="Uwaga 2 21 20 2" xfId="38119"/>
    <cellStyle name="Uwaga 2 21 20 3" xfId="38120"/>
    <cellStyle name="Uwaga 2 21 20 4" xfId="38121"/>
    <cellStyle name="Uwaga 2 21 21" xfId="38122"/>
    <cellStyle name="Uwaga 2 21 21 2" xfId="38123"/>
    <cellStyle name="Uwaga 2 21 21 3" xfId="38124"/>
    <cellStyle name="Uwaga 2 21 22" xfId="38125"/>
    <cellStyle name="Uwaga 2 21 22 2" xfId="38126"/>
    <cellStyle name="Uwaga 2 21 22 3" xfId="38127"/>
    <cellStyle name="Uwaga 2 21 23" xfId="38128"/>
    <cellStyle name="Uwaga 2 21 23 2" xfId="38129"/>
    <cellStyle name="Uwaga 2 21 23 3" xfId="38130"/>
    <cellStyle name="Uwaga 2 21 24" xfId="38131"/>
    <cellStyle name="Uwaga 2 21 24 2" xfId="38132"/>
    <cellStyle name="Uwaga 2 21 24 3" xfId="38133"/>
    <cellStyle name="Uwaga 2 21 25" xfId="38134"/>
    <cellStyle name="Uwaga 2 21 25 2" xfId="38135"/>
    <cellStyle name="Uwaga 2 21 25 3" xfId="38136"/>
    <cellStyle name="Uwaga 2 21 26" xfId="38137"/>
    <cellStyle name="Uwaga 2 21 26 2" xfId="38138"/>
    <cellStyle name="Uwaga 2 21 26 3" xfId="38139"/>
    <cellStyle name="Uwaga 2 21 27" xfId="38140"/>
    <cellStyle name="Uwaga 2 21 27 2" xfId="38141"/>
    <cellStyle name="Uwaga 2 21 27 3" xfId="38142"/>
    <cellStyle name="Uwaga 2 21 28" xfId="38143"/>
    <cellStyle name="Uwaga 2 21 28 2" xfId="38144"/>
    <cellStyle name="Uwaga 2 21 28 3" xfId="38145"/>
    <cellStyle name="Uwaga 2 21 29" xfId="38146"/>
    <cellStyle name="Uwaga 2 21 29 2" xfId="38147"/>
    <cellStyle name="Uwaga 2 21 29 3" xfId="38148"/>
    <cellStyle name="Uwaga 2 21 3" xfId="38149"/>
    <cellStyle name="Uwaga 2 21 3 2" xfId="38150"/>
    <cellStyle name="Uwaga 2 21 3 3" xfId="38151"/>
    <cellStyle name="Uwaga 2 21 3 4" xfId="38152"/>
    <cellStyle name="Uwaga 2 21 30" xfId="38153"/>
    <cellStyle name="Uwaga 2 21 30 2" xfId="38154"/>
    <cellStyle name="Uwaga 2 21 30 3" xfId="38155"/>
    <cellStyle name="Uwaga 2 21 31" xfId="38156"/>
    <cellStyle name="Uwaga 2 21 31 2" xfId="38157"/>
    <cellStyle name="Uwaga 2 21 31 3" xfId="38158"/>
    <cellStyle name="Uwaga 2 21 32" xfId="38159"/>
    <cellStyle name="Uwaga 2 21 32 2" xfId="38160"/>
    <cellStyle name="Uwaga 2 21 32 3" xfId="38161"/>
    <cellStyle name="Uwaga 2 21 33" xfId="38162"/>
    <cellStyle name="Uwaga 2 21 33 2" xfId="38163"/>
    <cellStyle name="Uwaga 2 21 33 3" xfId="38164"/>
    <cellStyle name="Uwaga 2 21 34" xfId="38165"/>
    <cellStyle name="Uwaga 2 21 34 2" xfId="38166"/>
    <cellStyle name="Uwaga 2 21 34 3" xfId="38167"/>
    <cellStyle name="Uwaga 2 21 35" xfId="38168"/>
    <cellStyle name="Uwaga 2 21 35 2" xfId="38169"/>
    <cellStyle name="Uwaga 2 21 35 3" xfId="38170"/>
    <cellStyle name="Uwaga 2 21 36" xfId="38171"/>
    <cellStyle name="Uwaga 2 21 36 2" xfId="38172"/>
    <cellStyle name="Uwaga 2 21 36 3" xfId="38173"/>
    <cellStyle name="Uwaga 2 21 37" xfId="38174"/>
    <cellStyle name="Uwaga 2 21 37 2" xfId="38175"/>
    <cellStyle name="Uwaga 2 21 37 3" xfId="38176"/>
    <cellStyle name="Uwaga 2 21 38" xfId="38177"/>
    <cellStyle name="Uwaga 2 21 38 2" xfId="38178"/>
    <cellStyle name="Uwaga 2 21 38 3" xfId="38179"/>
    <cellStyle name="Uwaga 2 21 39" xfId="38180"/>
    <cellStyle name="Uwaga 2 21 39 2" xfId="38181"/>
    <cellStyle name="Uwaga 2 21 39 3" xfId="38182"/>
    <cellStyle name="Uwaga 2 21 4" xfId="38183"/>
    <cellStyle name="Uwaga 2 21 4 2" xfId="38184"/>
    <cellStyle name="Uwaga 2 21 4 3" xfId="38185"/>
    <cellStyle name="Uwaga 2 21 4 4" xfId="38186"/>
    <cellStyle name="Uwaga 2 21 40" xfId="38187"/>
    <cellStyle name="Uwaga 2 21 40 2" xfId="38188"/>
    <cellStyle name="Uwaga 2 21 40 3" xfId="38189"/>
    <cellStyle name="Uwaga 2 21 41" xfId="38190"/>
    <cellStyle name="Uwaga 2 21 41 2" xfId="38191"/>
    <cellStyle name="Uwaga 2 21 41 3" xfId="38192"/>
    <cellStyle name="Uwaga 2 21 42" xfId="38193"/>
    <cellStyle name="Uwaga 2 21 42 2" xfId="38194"/>
    <cellStyle name="Uwaga 2 21 42 3" xfId="38195"/>
    <cellStyle name="Uwaga 2 21 43" xfId="38196"/>
    <cellStyle name="Uwaga 2 21 43 2" xfId="38197"/>
    <cellStyle name="Uwaga 2 21 43 3" xfId="38198"/>
    <cellStyle name="Uwaga 2 21 44" xfId="38199"/>
    <cellStyle name="Uwaga 2 21 44 2" xfId="38200"/>
    <cellStyle name="Uwaga 2 21 44 3" xfId="38201"/>
    <cellStyle name="Uwaga 2 21 45" xfId="38202"/>
    <cellStyle name="Uwaga 2 21 45 2" xfId="38203"/>
    <cellStyle name="Uwaga 2 21 45 3" xfId="38204"/>
    <cellStyle name="Uwaga 2 21 46" xfId="38205"/>
    <cellStyle name="Uwaga 2 21 46 2" xfId="38206"/>
    <cellStyle name="Uwaga 2 21 46 3" xfId="38207"/>
    <cellStyle name="Uwaga 2 21 47" xfId="38208"/>
    <cellStyle name="Uwaga 2 21 47 2" xfId="38209"/>
    <cellStyle name="Uwaga 2 21 47 3" xfId="38210"/>
    <cellStyle name="Uwaga 2 21 48" xfId="38211"/>
    <cellStyle name="Uwaga 2 21 48 2" xfId="38212"/>
    <cellStyle name="Uwaga 2 21 48 3" xfId="38213"/>
    <cellStyle name="Uwaga 2 21 49" xfId="38214"/>
    <cellStyle name="Uwaga 2 21 49 2" xfId="38215"/>
    <cellStyle name="Uwaga 2 21 49 3" xfId="38216"/>
    <cellStyle name="Uwaga 2 21 5" xfId="38217"/>
    <cellStyle name="Uwaga 2 21 5 2" xfId="38218"/>
    <cellStyle name="Uwaga 2 21 5 3" xfId="38219"/>
    <cellStyle name="Uwaga 2 21 5 4" xfId="38220"/>
    <cellStyle name="Uwaga 2 21 50" xfId="38221"/>
    <cellStyle name="Uwaga 2 21 50 2" xfId="38222"/>
    <cellStyle name="Uwaga 2 21 50 3" xfId="38223"/>
    <cellStyle name="Uwaga 2 21 51" xfId="38224"/>
    <cellStyle name="Uwaga 2 21 51 2" xfId="38225"/>
    <cellStyle name="Uwaga 2 21 51 3" xfId="38226"/>
    <cellStyle name="Uwaga 2 21 52" xfId="38227"/>
    <cellStyle name="Uwaga 2 21 52 2" xfId="38228"/>
    <cellStyle name="Uwaga 2 21 52 3" xfId="38229"/>
    <cellStyle name="Uwaga 2 21 53" xfId="38230"/>
    <cellStyle name="Uwaga 2 21 53 2" xfId="38231"/>
    <cellStyle name="Uwaga 2 21 53 3" xfId="38232"/>
    <cellStyle name="Uwaga 2 21 54" xfId="38233"/>
    <cellStyle name="Uwaga 2 21 54 2" xfId="38234"/>
    <cellStyle name="Uwaga 2 21 54 3" xfId="38235"/>
    <cellStyle name="Uwaga 2 21 55" xfId="38236"/>
    <cellStyle name="Uwaga 2 21 55 2" xfId="38237"/>
    <cellStyle name="Uwaga 2 21 55 3" xfId="38238"/>
    <cellStyle name="Uwaga 2 21 56" xfId="38239"/>
    <cellStyle name="Uwaga 2 21 56 2" xfId="38240"/>
    <cellStyle name="Uwaga 2 21 56 3" xfId="38241"/>
    <cellStyle name="Uwaga 2 21 57" xfId="38242"/>
    <cellStyle name="Uwaga 2 21 58" xfId="38243"/>
    <cellStyle name="Uwaga 2 21 6" xfId="38244"/>
    <cellStyle name="Uwaga 2 21 6 2" xfId="38245"/>
    <cellStyle name="Uwaga 2 21 6 3" xfId="38246"/>
    <cellStyle name="Uwaga 2 21 6 4" xfId="38247"/>
    <cellStyle name="Uwaga 2 21 7" xfId="38248"/>
    <cellStyle name="Uwaga 2 21 7 2" xfId="38249"/>
    <cellStyle name="Uwaga 2 21 7 3" xfId="38250"/>
    <cellStyle name="Uwaga 2 21 7 4" xfId="38251"/>
    <cellStyle name="Uwaga 2 21 8" xfId="38252"/>
    <cellStyle name="Uwaga 2 21 8 2" xfId="38253"/>
    <cellStyle name="Uwaga 2 21 8 3" xfId="38254"/>
    <cellStyle name="Uwaga 2 21 8 4" xfId="38255"/>
    <cellStyle name="Uwaga 2 21 9" xfId="38256"/>
    <cellStyle name="Uwaga 2 21 9 2" xfId="38257"/>
    <cellStyle name="Uwaga 2 21 9 3" xfId="38258"/>
    <cellStyle name="Uwaga 2 21 9 4" xfId="38259"/>
    <cellStyle name="Uwaga 2 22" xfId="38260"/>
    <cellStyle name="Uwaga 2 22 10" xfId="38261"/>
    <cellStyle name="Uwaga 2 22 10 2" xfId="38262"/>
    <cellStyle name="Uwaga 2 22 10 3" xfId="38263"/>
    <cellStyle name="Uwaga 2 22 10 4" xfId="38264"/>
    <cellStyle name="Uwaga 2 22 11" xfId="38265"/>
    <cellStyle name="Uwaga 2 22 11 2" xfId="38266"/>
    <cellStyle name="Uwaga 2 22 11 3" xfId="38267"/>
    <cellStyle name="Uwaga 2 22 11 4" xfId="38268"/>
    <cellStyle name="Uwaga 2 22 12" xfId="38269"/>
    <cellStyle name="Uwaga 2 22 12 2" xfId="38270"/>
    <cellStyle name="Uwaga 2 22 12 3" xfId="38271"/>
    <cellStyle name="Uwaga 2 22 12 4" xfId="38272"/>
    <cellStyle name="Uwaga 2 22 13" xfId="38273"/>
    <cellStyle name="Uwaga 2 22 13 2" xfId="38274"/>
    <cellStyle name="Uwaga 2 22 13 3" xfId="38275"/>
    <cellStyle name="Uwaga 2 22 13 4" xfId="38276"/>
    <cellStyle name="Uwaga 2 22 14" xfId="38277"/>
    <cellStyle name="Uwaga 2 22 14 2" xfId="38278"/>
    <cellStyle name="Uwaga 2 22 14 3" xfId="38279"/>
    <cellStyle name="Uwaga 2 22 14 4" xfId="38280"/>
    <cellStyle name="Uwaga 2 22 15" xfId="38281"/>
    <cellStyle name="Uwaga 2 22 15 2" xfId="38282"/>
    <cellStyle name="Uwaga 2 22 15 3" xfId="38283"/>
    <cellStyle name="Uwaga 2 22 15 4" xfId="38284"/>
    <cellStyle name="Uwaga 2 22 16" xfId="38285"/>
    <cellStyle name="Uwaga 2 22 16 2" xfId="38286"/>
    <cellStyle name="Uwaga 2 22 16 3" xfId="38287"/>
    <cellStyle name="Uwaga 2 22 16 4" xfId="38288"/>
    <cellStyle name="Uwaga 2 22 17" xfId="38289"/>
    <cellStyle name="Uwaga 2 22 17 2" xfId="38290"/>
    <cellStyle name="Uwaga 2 22 17 3" xfId="38291"/>
    <cellStyle name="Uwaga 2 22 17 4" xfId="38292"/>
    <cellStyle name="Uwaga 2 22 18" xfId="38293"/>
    <cellStyle name="Uwaga 2 22 18 2" xfId="38294"/>
    <cellStyle name="Uwaga 2 22 18 3" xfId="38295"/>
    <cellStyle name="Uwaga 2 22 18 4" xfId="38296"/>
    <cellStyle name="Uwaga 2 22 19" xfId="38297"/>
    <cellStyle name="Uwaga 2 22 19 2" xfId="38298"/>
    <cellStyle name="Uwaga 2 22 19 3" xfId="38299"/>
    <cellStyle name="Uwaga 2 22 19 4" xfId="38300"/>
    <cellStyle name="Uwaga 2 22 2" xfId="38301"/>
    <cellStyle name="Uwaga 2 22 2 2" xfId="38302"/>
    <cellStyle name="Uwaga 2 22 2 3" xfId="38303"/>
    <cellStyle name="Uwaga 2 22 2 4" xfId="38304"/>
    <cellStyle name="Uwaga 2 22 20" xfId="38305"/>
    <cellStyle name="Uwaga 2 22 20 2" xfId="38306"/>
    <cellStyle name="Uwaga 2 22 20 3" xfId="38307"/>
    <cellStyle name="Uwaga 2 22 20 4" xfId="38308"/>
    <cellStyle name="Uwaga 2 22 21" xfId="38309"/>
    <cellStyle name="Uwaga 2 22 21 2" xfId="38310"/>
    <cellStyle name="Uwaga 2 22 21 3" xfId="38311"/>
    <cellStyle name="Uwaga 2 22 22" xfId="38312"/>
    <cellStyle name="Uwaga 2 22 22 2" xfId="38313"/>
    <cellStyle name="Uwaga 2 22 22 3" xfId="38314"/>
    <cellStyle name="Uwaga 2 22 23" xfId="38315"/>
    <cellStyle name="Uwaga 2 22 23 2" xfId="38316"/>
    <cellStyle name="Uwaga 2 22 23 3" xfId="38317"/>
    <cellStyle name="Uwaga 2 22 24" xfId="38318"/>
    <cellStyle name="Uwaga 2 22 24 2" xfId="38319"/>
    <cellStyle name="Uwaga 2 22 24 3" xfId="38320"/>
    <cellStyle name="Uwaga 2 22 25" xfId="38321"/>
    <cellStyle name="Uwaga 2 22 25 2" xfId="38322"/>
    <cellStyle name="Uwaga 2 22 25 3" xfId="38323"/>
    <cellStyle name="Uwaga 2 22 26" xfId="38324"/>
    <cellStyle name="Uwaga 2 22 26 2" xfId="38325"/>
    <cellStyle name="Uwaga 2 22 26 3" xfId="38326"/>
    <cellStyle name="Uwaga 2 22 27" xfId="38327"/>
    <cellStyle name="Uwaga 2 22 27 2" xfId="38328"/>
    <cellStyle name="Uwaga 2 22 27 3" xfId="38329"/>
    <cellStyle name="Uwaga 2 22 28" xfId="38330"/>
    <cellStyle name="Uwaga 2 22 28 2" xfId="38331"/>
    <cellStyle name="Uwaga 2 22 28 3" xfId="38332"/>
    <cellStyle name="Uwaga 2 22 29" xfId="38333"/>
    <cellStyle name="Uwaga 2 22 29 2" xfId="38334"/>
    <cellStyle name="Uwaga 2 22 29 3" xfId="38335"/>
    <cellStyle name="Uwaga 2 22 3" xfId="38336"/>
    <cellStyle name="Uwaga 2 22 3 2" xfId="38337"/>
    <cellStyle name="Uwaga 2 22 3 3" xfId="38338"/>
    <cellStyle name="Uwaga 2 22 3 4" xfId="38339"/>
    <cellStyle name="Uwaga 2 22 30" xfId="38340"/>
    <cellStyle name="Uwaga 2 22 30 2" xfId="38341"/>
    <cellStyle name="Uwaga 2 22 30 3" xfId="38342"/>
    <cellStyle name="Uwaga 2 22 31" xfId="38343"/>
    <cellStyle name="Uwaga 2 22 31 2" xfId="38344"/>
    <cellStyle name="Uwaga 2 22 31 3" xfId="38345"/>
    <cellStyle name="Uwaga 2 22 32" xfId="38346"/>
    <cellStyle name="Uwaga 2 22 32 2" xfId="38347"/>
    <cellStyle name="Uwaga 2 22 32 3" xfId="38348"/>
    <cellStyle name="Uwaga 2 22 33" xfId="38349"/>
    <cellStyle name="Uwaga 2 22 33 2" xfId="38350"/>
    <cellStyle name="Uwaga 2 22 33 3" xfId="38351"/>
    <cellStyle name="Uwaga 2 22 34" xfId="38352"/>
    <cellStyle name="Uwaga 2 22 34 2" xfId="38353"/>
    <cellStyle name="Uwaga 2 22 34 3" xfId="38354"/>
    <cellStyle name="Uwaga 2 22 35" xfId="38355"/>
    <cellStyle name="Uwaga 2 22 35 2" xfId="38356"/>
    <cellStyle name="Uwaga 2 22 35 3" xfId="38357"/>
    <cellStyle name="Uwaga 2 22 36" xfId="38358"/>
    <cellStyle name="Uwaga 2 22 36 2" xfId="38359"/>
    <cellStyle name="Uwaga 2 22 36 3" xfId="38360"/>
    <cellStyle name="Uwaga 2 22 37" xfId="38361"/>
    <cellStyle name="Uwaga 2 22 37 2" xfId="38362"/>
    <cellStyle name="Uwaga 2 22 37 3" xfId="38363"/>
    <cellStyle name="Uwaga 2 22 38" xfId="38364"/>
    <cellStyle name="Uwaga 2 22 38 2" xfId="38365"/>
    <cellStyle name="Uwaga 2 22 38 3" xfId="38366"/>
    <cellStyle name="Uwaga 2 22 39" xfId="38367"/>
    <cellStyle name="Uwaga 2 22 39 2" xfId="38368"/>
    <cellStyle name="Uwaga 2 22 39 3" xfId="38369"/>
    <cellStyle name="Uwaga 2 22 4" xfId="38370"/>
    <cellStyle name="Uwaga 2 22 4 2" xfId="38371"/>
    <cellStyle name="Uwaga 2 22 4 3" xfId="38372"/>
    <cellStyle name="Uwaga 2 22 4 4" xfId="38373"/>
    <cellStyle name="Uwaga 2 22 40" xfId="38374"/>
    <cellStyle name="Uwaga 2 22 40 2" xfId="38375"/>
    <cellStyle name="Uwaga 2 22 40 3" xfId="38376"/>
    <cellStyle name="Uwaga 2 22 41" xfId="38377"/>
    <cellStyle name="Uwaga 2 22 41 2" xfId="38378"/>
    <cellStyle name="Uwaga 2 22 41 3" xfId="38379"/>
    <cellStyle name="Uwaga 2 22 42" xfId="38380"/>
    <cellStyle name="Uwaga 2 22 42 2" xfId="38381"/>
    <cellStyle name="Uwaga 2 22 42 3" xfId="38382"/>
    <cellStyle name="Uwaga 2 22 43" xfId="38383"/>
    <cellStyle name="Uwaga 2 22 43 2" xfId="38384"/>
    <cellStyle name="Uwaga 2 22 43 3" xfId="38385"/>
    <cellStyle name="Uwaga 2 22 44" xfId="38386"/>
    <cellStyle name="Uwaga 2 22 44 2" xfId="38387"/>
    <cellStyle name="Uwaga 2 22 44 3" xfId="38388"/>
    <cellStyle name="Uwaga 2 22 45" xfId="38389"/>
    <cellStyle name="Uwaga 2 22 45 2" xfId="38390"/>
    <cellStyle name="Uwaga 2 22 45 3" xfId="38391"/>
    <cellStyle name="Uwaga 2 22 46" xfId="38392"/>
    <cellStyle name="Uwaga 2 22 46 2" xfId="38393"/>
    <cellStyle name="Uwaga 2 22 46 3" xfId="38394"/>
    <cellStyle name="Uwaga 2 22 47" xfId="38395"/>
    <cellStyle name="Uwaga 2 22 47 2" xfId="38396"/>
    <cellStyle name="Uwaga 2 22 47 3" xfId="38397"/>
    <cellStyle name="Uwaga 2 22 48" xfId="38398"/>
    <cellStyle name="Uwaga 2 22 48 2" xfId="38399"/>
    <cellStyle name="Uwaga 2 22 48 3" xfId="38400"/>
    <cellStyle name="Uwaga 2 22 49" xfId="38401"/>
    <cellStyle name="Uwaga 2 22 49 2" xfId="38402"/>
    <cellStyle name="Uwaga 2 22 49 3" xfId="38403"/>
    <cellStyle name="Uwaga 2 22 5" xfId="38404"/>
    <cellStyle name="Uwaga 2 22 5 2" xfId="38405"/>
    <cellStyle name="Uwaga 2 22 5 3" xfId="38406"/>
    <cellStyle name="Uwaga 2 22 5 4" xfId="38407"/>
    <cellStyle name="Uwaga 2 22 50" xfId="38408"/>
    <cellStyle name="Uwaga 2 22 50 2" xfId="38409"/>
    <cellStyle name="Uwaga 2 22 50 3" xfId="38410"/>
    <cellStyle name="Uwaga 2 22 51" xfId="38411"/>
    <cellStyle name="Uwaga 2 22 51 2" xfId="38412"/>
    <cellStyle name="Uwaga 2 22 51 3" xfId="38413"/>
    <cellStyle name="Uwaga 2 22 52" xfId="38414"/>
    <cellStyle name="Uwaga 2 22 52 2" xfId="38415"/>
    <cellStyle name="Uwaga 2 22 52 3" xfId="38416"/>
    <cellStyle name="Uwaga 2 22 53" xfId="38417"/>
    <cellStyle name="Uwaga 2 22 53 2" xfId="38418"/>
    <cellStyle name="Uwaga 2 22 53 3" xfId="38419"/>
    <cellStyle name="Uwaga 2 22 54" xfId="38420"/>
    <cellStyle name="Uwaga 2 22 54 2" xfId="38421"/>
    <cellStyle name="Uwaga 2 22 54 3" xfId="38422"/>
    <cellStyle name="Uwaga 2 22 55" xfId="38423"/>
    <cellStyle name="Uwaga 2 22 55 2" xfId="38424"/>
    <cellStyle name="Uwaga 2 22 55 3" xfId="38425"/>
    <cellStyle name="Uwaga 2 22 56" xfId="38426"/>
    <cellStyle name="Uwaga 2 22 56 2" xfId="38427"/>
    <cellStyle name="Uwaga 2 22 56 3" xfId="38428"/>
    <cellStyle name="Uwaga 2 22 57" xfId="38429"/>
    <cellStyle name="Uwaga 2 22 58" xfId="38430"/>
    <cellStyle name="Uwaga 2 22 6" xfId="38431"/>
    <cellStyle name="Uwaga 2 22 6 2" xfId="38432"/>
    <cellStyle name="Uwaga 2 22 6 3" xfId="38433"/>
    <cellStyle name="Uwaga 2 22 6 4" xfId="38434"/>
    <cellStyle name="Uwaga 2 22 7" xfId="38435"/>
    <cellStyle name="Uwaga 2 22 7 2" xfId="38436"/>
    <cellStyle name="Uwaga 2 22 7 3" xfId="38437"/>
    <cellStyle name="Uwaga 2 22 7 4" xfId="38438"/>
    <cellStyle name="Uwaga 2 22 8" xfId="38439"/>
    <cellStyle name="Uwaga 2 22 8 2" xfId="38440"/>
    <cellStyle name="Uwaga 2 22 8 3" xfId="38441"/>
    <cellStyle name="Uwaga 2 22 8 4" xfId="38442"/>
    <cellStyle name="Uwaga 2 22 9" xfId="38443"/>
    <cellStyle name="Uwaga 2 22 9 2" xfId="38444"/>
    <cellStyle name="Uwaga 2 22 9 3" xfId="38445"/>
    <cellStyle name="Uwaga 2 22 9 4" xfId="38446"/>
    <cellStyle name="Uwaga 2 23" xfId="38447"/>
    <cellStyle name="Uwaga 2 23 10" xfId="38448"/>
    <cellStyle name="Uwaga 2 23 10 2" xfId="38449"/>
    <cellStyle name="Uwaga 2 23 10 3" xfId="38450"/>
    <cellStyle name="Uwaga 2 23 10 4" xfId="38451"/>
    <cellStyle name="Uwaga 2 23 11" xfId="38452"/>
    <cellStyle name="Uwaga 2 23 11 2" xfId="38453"/>
    <cellStyle name="Uwaga 2 23 11 3" xfId="38454"/>
    <cellStyle name="Uwaga 2 23 11 4" xfId="38455"/>
    <cellStyle name="Uwaga 2 23 12" xfId="38456"/>
    <cellStyle name="Uwaga 2 23 12 2" xfId="38457"/>
    <cellStyle name="Uwaga 2 23 12 3" xfId="38458"/>
    <cellStyle name="Uwaga 2 23 12 4" xfId="38459"/>
    <cellStyle name="Uwaga 2 23 13" xfId="38460"/>
    <cellStyle name="Uwaga 2 23 13 2" xfId="38461"/>
    <cellStyle name="Uwaga 2 23 13 3" xfId="38462"/>
    <cellStyle name="Uwaga 2 23 13 4" xfId="38463"/>
    <cellStyle name="Uwaga 2 23 14" xfId="38464"/>
    <cellStyle name="Uwaga 2 23 14 2" xfId="38465"/>
    <cellStyle name="Uwaga 2 23 14 3" xfId="38466"/>
    <cellStyle name="Uwaga 2 23 14 4" xfId="38467"/>
    <cellStyle name="Uwaga 2 23 15" xfId="38468"/>
    <cellStyle name="Uwaga 2 23 15 2" xfId="38469"/>
    <cellStyle name="Uwaga 2 23 15 3" xfId="38470"/>
    <cellStyle name="Uwaga 2 23 15 4" xfId="38471"/>
    <cellStyle name="Uwaga 2 23 16" xfId="38472"/>
    <cellStyle name="Uwaga 2 23 16 2" xfId="38473"/>
    <cellStyle name="Uwaga 2 23 16 3" xfId="38474"/>
    <cellStyle name="Uwaga 2 23 16 4" xfId="38475"/>
    <cellStyle name="Uwaga 2 23 17" xfId="38476"/>
    <cellStyle name="Uwaga 2 23 17 2" xfId="38477"/>
    <cellStyle name="Uwaga 2 23 17 3" xfId="38478"/>
    <cellStyle name="Uwaga 2 23 17 4" xfId="38479"/>
    <cellStyle name="Uwaga 2 23 18" xfId="38480"/>
    <cellStyle name="Uwaga 2 23 18 2" xfId="38481"/>
    <cellStyle name="Uwaga 2 23 18 3" xfId="38482"/>
    <cellStyle name="Uwaga 2 23 18 4" xfId="38483"/>
    <cellStyle name="Uwaga 2 23 19" xfId="38484"/>
    <cellStyle name="Uwaga 2 23 19 2" xfId="38485"/>
    <cellStyle name="Uwaga 2 23 19 3" xfId="38486"/>
    <cellStyle name="Uwaga 2 23 19 4" xfId="38487"/>
    <cellStyle name="Uwaga 2 23 2" xfId="38488"/>
    <cellStyle name="Uwaga 2 23 2 2" xfId="38489"/>
    <cellStyle name="Uwaga 2 23 2 3" xfId="38490"/>
    <cellStyle name="Uwaga 2 23 2 4" xfId="38491"/>
    <cellStyle name="Uwaga 2 23 20" xfId="38492"/>
    <cellStyle name="Uwaga 2 23 20 2" xfId="38493"/>
    <cellStyle name="Uwaga 2 23 20 3" xfId="38494"/>
    <cellStyle name="Uwaga 2 23 20 4" xfId="38495"/>
    <cellStyle name="Uwaga 2 23 21" xfId="38496"/>
    <cellStyle name="Uwaga 2 23 21 2" xfId="38497"/>
    <cellStyle name="Uwaga 2 23 21 3" xfId="38498"/>
    <cellStyle name="Uwaga 2 23 22" xfId="38499"/>
    <cellStyle name="Uwaga 2 23 22 2" xfId="38500"/>
    <cellStyle name="Uwaga 2 23 22 3" xfId="38501"/>
    <cellStyle name="Uwaga 2 23 23" xfId="38502"/>
    <cellStyle name="Uwaga 2 23 23 2" xfId="38503"/>
    <cellStyle name="Uwaga 2 23 23 3" xfId="38504"/>
    <cellStyle name="Uwaga 2 23 24" xfId="38505"/>
    <cellStyle name="Uwaga 2 23 24 2" xfId="38506"/>
    <cellStyle name="Uwaga 2 23 24 3" xfId="38507"/>
    <cellStyle name="Uwaga 2 23 25" xfId="38508"/>
    <cellStyle name="Uwaga 2 23 25 2" xfId="38509"/>
    <cellStyle name="Uwaga 2 23 25 3" xfId="38510"/>
    <cellStyle name="Uwaga 2 23 26" xfId="38511"/>
    <cellStyle name="Uwaga 2 23 26 2" xfId="38512"/>
    <cellStyle name="Uwaga 2 23 26 3" xfId="38513"/>
    <cellStyle name="Uwaga 2 23 27" xfId="38514"/>
    <cellStyle name="Uwaga 2 23 27 2" xfId="38515"/>
    <cellStyle name="Uwaga 2 23 27 3" xfId="38516"/>
    <cellStyle name="Uwaga 2 23 28" xfId="38517"/>
    <cellStyle name="Uwaga 2 23 28 2" xfId="38518"/>
    <cellStyle name="Uwaga 2 23 28 3" xfId="38519"/>
    <cellStyle name="Uwaga 2 23 29" xfId="38520"/>
    <cellStyle name="Uwaga 2 23 29 2" xfId="38521"/>
    <cellStyle name="Uwaga 2 23 29 3" xfId="38522"/>
    <cellStyle name="Uwaga 2 23 3" xfId="38523"/>
    <cellStyle name="Uwaga 2 23 3 2" xfId="38524"/>
    <cellStyle name="Uwaga 2 23 3 3" xfId="38525"/>
    <cellStyle name="Uwaga 2 23 3 4" xfId="38526"/>
    <cellStyle name="Uwaga 2 23 30" xfId="38527"/>
    <cellStyle name="Uwaga 2 23 30 2" xfId="38528"/>
    <cellStyle name="Uwaga 2 23 30 3" xfId="38529"/>
    <cellStyle name="Uwaga 2 23 31" xfId="38530"/>
    <cellStyle name="Uwaga 2 23 31 2" xfId="38531"/>
    <cellStyle name="Uwaga 2 23 31 3" xfId="38532"/>
    <cellStyle name="Uwaga 2 23 32" xfId="38533"/>
    <cellStyle name="Uwaga 2 23 32 2" xfId="38534"/>
    <cellStyle name="Uwaga 2 23 32 3" xfId="38535"/>
    <cellStyle name="Uwaga 2 23 33" xfId="38536"/>
    <cellStyle name="Uwaga 2 23 33 2" xfId="38537"/>
    <cellStyle name="Uwaga 2 23 33 3" xfId="38538"/>
    <cellStyle name="Uwaga 2 23 34" xfId="38539"/>
    <cellStyle name="Uwaga 2 23 34 2" xfId="38540"/>
    <cellStyle name="Uwaga 2 23 34 3" xfId="38541"/>
    <cellStyle name="Uwaga 2 23 35" xfId="38542"/>
    <cellStyle name="Uwaga 2 23 35 2" xfId="38543"/>
    <cellStyle name="Uwaga 2 23 35 3" xfId="38544"/>
    <cellStyle name="Uwaga 2 23 36" xfId="38545"/>
    <cellStyle name="Uwaga 2 23 36 2" xfId="38546"/>
    <cellStyle name="Uwaga 2 23 36 3" xfId="38547"/>
    <cellStyle name="Uwaga 2 23 37" xfId="38548"/>
    <cellStyle name="Uwaga 2 23 37 2" xfId="38549"/>
    <cellStyle name="Uwaga 2 23 37 3" xfId="38550"/>
    <cellStyle name="Uwaga 2 23 38" xfId="38551"/>
    <cellStyle name="Uwaga 2 23 38 2" xfId="38552"/>
    <cellStyle name="Uwaga 2 23 38 3" xfId="38553"/>
    <cellStyle name="Uwaga 2 23 39" xfId="38554"/>
    <cellStyle name="Uwaga 2 23 39 2" xfId="38555"/>
    <cellStyle name="Uwaga 2 23 39 3" xfId="38556"/>
    <cellStyle name="Uwaga 2 23 4" xfId="38557"/>
    <cellStyle name="Uwaga 2 23 4 2" xfId="38558"/>
    <cellStyle name="Uwaga 2 23 4 3" xfId="38559"/>
    <cellStyle name="Uwaga 2 23 4 4" xfId="38560"/>
    <cellStyle name="Uwaga 2 23 40" xfId="38561"/>
    <cellStyle name="Uwaga 2 23 40 2" xfId="38562"/>
    <cellStyle name="Uwaga 2 23 40 3" xfId="38563"/>
    <cellStyle name="Uwaga 2 23 41" xfId="38564"/>
    <cellStyle name="Uwaga 2 23 41 2" xfId="38565"/>
    <cellStyle name="Uwaga 2 23 41 3" xfId="38566"/>
    <cellStyle name="Uwaga 2 23 42" xfId="38567"/>
    <cellStyle name="Uwaga 2 23 42 2" xfId="38568"/>
    <cellStyle name="Uwaga 2 23 42 3" xfId="38569"/>
    <cellStyle name="Uwaga 2 23 43" xfId="38570"/>
    <cellStyle name="Uwaga 2 23 43 2" xfId="38571"/>
    <cellStyle name="Uwaga 2 23 43 3" xfId="38572"/>
    <cellStyle name="Uwaga 2 23 44" xfId="38573"/>
    <cellStyle name="Uwaga 2 23 44 2" xfId="38574"/>
    <cellStyle name="Uwaga 2 23 44 3" xfId="38575"/>
    <cellStyle name="Uwaga 2 23 45" xfId="38576"/>
    <cellStyle name="Uwaga 2 23 45 2" xfId="38577"/>
    <cellStyle name="Uwaga 2 23 45 3" xfId="38578"/>
    <cellStyle name="Uwaga 2 23 46" xfId="38579"/>
    <cellStyle name="Uwaga 2 23 46 2" xfId="38580"/>
    <cellStyle name="Uwaga 2 23 46 3" xfId="38581"/>
    <cellStyle name="Uwaga 2 23 47" xfId="38582"/>
    <cellStyle name="Uwaga 2 23 47 2" xfId="38583"/>
    <cellStyle name="Uwaga 2 23 47 3" xfId="38584"/>
    <cellStyle name="Uwaga 2 23 48" xfId="38585"/>
    <cellStyle name="Uwaga 2 23 48 2" xfId="38586"/>
    <cellStyle name="Uwaga 2 23 48 3" xfId="38587"/>
    <cellStyle name="Uwaga 2 23 49" xfId="38588"/>
    <cellStyle name="Uwaga 2 23 49 2" xfId="38589"/>
    <cellStyle name="Uwaga 2 23 49 3" xfId="38590"/>
    <cellStyle name="Uwaga 2 23 5" xfId="38591"/>
    <cellStyle name="Uwaga 2 23 5 2" xfId="38592"/>
    <cellStyle name="Uwaga 2 23 5 3" xfId="38593"/>
    <cellStyle name="Uwaga 2 23 5 4" xfId="38594"/>
    <cellStyle name="Uwaga 2 23 50" xfId="38595"/>
    <cellStyle name="Uwaga 2 23 50 2" xfId="38596"/>
    <cellStyle name="Uwaga 2 23 50 3" xfId="38597"/>
    <cellStyle name="Uwaga 2 23 51" xfId="38598"/>
    <cellStyle name="Uwaga 2 23 51 2" xfId="38599"/>
    <cellStyle name="Uwaga 2 23 51 3" xfId="38600"/>
    <cellStyle name="Uwaga 2 23 52" xfId="38601"/>
    <cellStyle name="Uwaga 2 23 52 2" xfId="38602"/>
    <cellStyle name="Uwaga 2 23 52 3" xfId="38603"/>
    <cellStyle name="Uwaga 2 23 53" xfId="38604"/>
    <cellStyle name="Uwaga 2 23 53 2" xfId="38605"/>
    <cellStyle name="Uwaga 2 23 53 3" xfId="38606"/>
    <cellStyle name="Uwaga 2 23 54" xfId="38607"/>
    <cellStyle name="Uwaga 2 23 54 2" xfId="38608"/>
    <cellStyle name="Uwaga 2 23 54 3" xfId="38609"/>
    <cellStyle name="Uwaga 2 23 55" xfId="38610"/>
    <cellStyle name="Uwaga 2 23 55 2" xfId="38611"/>
    <cellStyle name="Uwaga 2 23 55 3" xfId="38612"/>
    <cellStyle name="Uwaga 2 23 56" xfId="38613"/>
    <cellStyle name="Uwaga 2 23 56 2" xfId="38614"/>
    <cellStyle name="Uwaga 2 23 56 3" xfId="38615"/>
    <cellStyle name="Uwaga 2 23 57" xfId="38616"/>
    <cellStyle name="Uwaga 2 23 58" xfId="38617"/>
    <cellStyle name="Uwaga 2 23 6" xfId="38618"/>
    <cellStyle name="Uwaga 2 23 6 2" xfId="38619"/>
    <cellStyle name="Uwaga 2 23 6 3" xfId="38620"/>
    <cellStyle name="Uwaga 2 23 6 4" xfId="38621"/>
    <cellStyle name="Uwaga 2 23 7" xfId="38622"/>
    <cellStyle name="Uwaga 2 23 7 2" xfId="38623"/>
    <cellStyle name="Uwaga 2 23 7 3" xfId="38624"/>
    <cellStyle name="Uwaga 2 23 7 4" xfId="38625"/>
    <cellStyle name="Uwaga 2 23 8" xfId="38626"/>
    <cellStyle name="Uwaga 2 23 8 2" xfId="38627"/>
    <cellStyle name="Uwaga 2 23 8 3" xfId="38628"/>
    <cellStyle name="Uwaga 2 23 8 4" xfId="38629"/>
    <cellStyle name="Uwaga 2 23 9" xfId="38630"/>
    <cellStyle name="Uwaga 2 23 9 2" xfId="38631"/>
    <cellStyle name="Uwaga 2 23 9 3" xfId="38632"/>
    <cellStyle name="Uwaga 2 23 9 4" xfId="38633"/>
    <cellStyle name="Uwaga 2 24" xfId="38634"/>
    <cellStyle name="Uwaga 2 24 10" xfId="38635"/>
    <cellStyle name="Uwaga 2 24 10 2" xfId="38636"/>
    <cellStyle name="Uwaga 2 24 10 3" xfId="38637"/>
    <cellStyle name="Uwaga 2 24 10 4" xfId="38638"/>
    <cellStyle name="Uwaga 2 24 11" xfId="38639"/>
    <cellStyle name="Uwaga 2 24 11 2" xfId="38640"/>
    <cellStyle name="Uwaga 2 24 11 3" xfId="38641"/>
    <cellStyle name="Uwaga 2 24 11 4" xfId="38642"/>
    <cellStyle name="Uwaga 2 24 12" xfId="38643"/>
    <cellStyle name="Uwaga 2 24 12 2" xfId="38644"/>
    <cellStyle name="Uwaga 2 24 12 3" xfId="38645"/>
    <cellStyle name="Uwaga 2 24 12 4" xfId="38646"/>
    <cellStyle name="Uwaga 2 24 13" xfId="38647"/>
    <cellStyle name="Uwaga 2 24 13 2" xfId="38648"/>
    <cellStyle name="Uwaga 2 24 13 3" xfId="38649"/>
    <cellStyle name="Uwaga 2 24 13 4" xfId="38650"/>
    <cellStyle name="Uwaga 2 24 14" xfId="38651"/>
    <cellStyle name="Uwaga 2 24 14 2" xfId="38652"/>
    <cellStyle name="Uwaga 2 24 14 3" xfId="38653"/>
    <cellStyle name="Uwaga 2 24 14 4" xfId="38654"/>
    <cellStyle name="Uwaga 2 24 15" xfId="38655"/>
    <cellStyle name="Uwaga 2 24 15 2" xfId="38656"/>
    <cellStyle name="Uwaga 2 24 15 3" xfId="38657"/>
    <cellStyle name="Uwaga 2 24 15 4" xfId="38658"/>
    <cellStyle name="Uwaga 2 24 16" xfId="38659"/>
    <cellStyle name="Uwaga 2 24 16 2" xfId="38660"/>
    <cellStyle name="Uwaga 2 24 16 3" xfId="38661"/>
    <cellStyle name="Uwaga 2 24 16 4" xfId="38662"/>
    <cellStyle name="Uwaga 2 24 17" xfId="38663"/>
    <cellStyle name="Uwaga 2 24 17 2" xfId="38664"/>
    <cellStyle name="Uwaga 2 24 17 3" xfId="38665"/>
    <cellStyle name="Uwaga 2 24 17 4" xfId="38666"/>
    <cellStyle name="Uwaga 2 24 18" xfId="38667"/>
    <cellStyle name="Uwaga 2 24 18 2" xfId="38668"/>
    <cellStyle name="Uwaga 2 24 18 3" xfId="38669"/>
    <cellStyle name="Uwaga 2 24 18 4" xfId="38670"/>
    <cellStyle name="Uwaga 2 24 19" xfId="38671"/>
    <cellStyle name="Uwaga 2 24 19 2" xfId="38672"/>
    <cellStyle name="Uwaga 2 24 19 3" xfId="38673"/>
    <cellStyle name="Uwaga 2 24 19 4" xfId="38674"/>
    <cellStyle name="Uwaga 2 24 2" xfId="38675"/>
    <cellStyle name="Uwaga 2 24 2 2" xfId="38676"/>
    <cellStyle name="Uwaga 2 24 2 3" xfId="38677"/>
    <cellStyle name="Uwaga 2 24 2 4" xfId="38678"/>
    <cellStyle name="Uwaga 2 24 20" xfId="38679"/>
    <cellStyle name="Uwaga 2 24 20 2" xfId="38680"/>
    <cellStyle name="Uwaga 2 24 20 3" xfId="38681"/>
    <cellStyle name="Uwaga 2 24 20 4" xfId="38682"/>
    <cellStyle name="Uwaga 2 24 21" xfId="38683"/>
    <cellStyle name="Uwaga 2 24 21 2" xfId="38684"/>
    <cellStyle name="Uwaga 2 24 21 3" xfId="38685"/>
    <cellStyle name="Uwaga 2 24 22" xfId="38686"/>
    <cellStyle name="Uwaga 2 24 22 2" xfId="38687"/>
    <cellStyle name="Uwaga 2 24 22 3" xfId="38688"/>
    <cellStyle name="Uwaga 2 24 23" xfId="38689"/>
    <cellStyle name="Uwaga 2 24 23 2" xfId="38690"/>
    <cellStyle name="Uwaga 2 24 23 3" xfId="38691"/>
    <cellStyle name="Uwaga 2 24 24" xfId="38692"/>
    <cellStyle name="Uwaga 2 24 24 2" xfId="38693"/>
    <cellStyle name="Uwaga 2 24 24 3" xfId="38694"/>
    <cellStyle name="Uwaga 2 24 25" xfId="38695"/>
    <cellStyle name="Uwaga 2 24 25 2" xfId="38696"/>
    <cellStyle name="Uwaga 2 24 25 3" xfId="38697"/>
    <cellStyle name="Uwaga 2 24 26" xfId="38698"/>
    <cellStyle name="Uwaga 2 24 26 2" xfId="38699"/>
    <cellStyle name="Uwaga 2 24 26 3" xfId="38700"/>
    <cellStyle name="Uwaga 2 24 27" xfId="38701"/>
    <cellStyle name="Uwaga 2 24 27 2" xfId="38702"/>
    <cellStyle name="Uwaga 2 24 27 3" xfId="38703"/>
    <cellStyle name="Uwaga 2 24 28" xfId="38704"/>
    <cellStyle name="Uwaga 2 24 28 2" xfId="38705"/>
    <cellStyle name="Uwaga 2 24 28 3" xfId="38706"/>
    <cellStyle name="Uwaga 2 24 29" xfId="38707"/>
    <cellStyle name="Uwaga 2 24 29 2" xfId="38708"/>
    <cellStyle name="Uwaga 2 24 29 3" xfId="38709"/>
    <cellStyle name="Uwaga 2 24 3" xfId="38710"/>
    <cellStyle name="Uwaga 2 24 3 2" xfId="38711"/>
    <cellStyle name="Uwaga 2 24 3 3" xfId="38712"/>
    <cellStyle name="Uwaga 2 24 3 4" xfId="38713"/>
    <cellStyle name="Uwaga 2 24 30" xfId="38714"/>
    <cellStyle name="Uwaga 2 24 30 2" xfId="38715"/>
    <cellStyle name="Uwaga 2 24 30 3" xfId="38716"/>
    <cellStyle name="Uwaga 2 24 31" xfId="38717"/>
    <cellStyle name="Uwaga 2 24 31 2" xfId="38718"/>
    <cellStyle name="Uwaga 2 24 31 3" xfId="38719"/>
    <cellStyle name="Uwaga 2 24 32" xfId="38720"/>
    <cellStyle name="Uwaga 2 24 32 2" xfId="38721"/>
    <cellStyle name="Uwaga 2 24 32 3" xfId="38722"/>
    <cellStyle name="Uwaga 2 24 33" xfId="38723"/>
    <cellStyle name="Uwaga 2 24 33 2" xfId="38724"/>
    <cellStyle name="Uwaga 2 24 33 3" xfId="38725"/>
    <cellStyle name="Uwaga 2 24 34" xfId="38726"/>
    <cellStyle name="Uwaga 2 24 34 2" xfId="38727"/>
    <cellStyle name="Uwaga 2 24 34 3" xfId="38728"/>
    <cellStyle name="Uwaga 2 24 35" xfId="38729"/>
    <cellStyle name="Uwaga 2 24 35 2" xfId="38730"/>
    <cellStyle name="Uwaga 2 24 35 3" xfId="38731"/>
    <cellStyle name="Uwaga 2 24 36" xfId="38732"/>
    <cellStyle name="Uwaga 2 24 36 2" xfId="38733"/>
    <cellStyle name="Uwaga 2 24 36 3" xfId="38734"/>
    <cellStyle name="Uwaga 2 24 37" xfId="38735"/>
    <cellStyle name="Uwaga 2 24 37 2" xfId="38736"/>
    <cellStyle name="Uwaga 2 24 37 3" xfId="38737"/>
    <cellStyle name="Uwaga 2 24 38" xfId="38738"/>
    <cellStyle name="Uwaga 2 24 38 2" xfId="38739"/>
    <cellStyle name="Uwaga 2 24 38 3" xfId="38740"/>
    <cellStyle name="Uwaga 2 24 39" xfId="38741"/>
    <cellStyle name="Uwaga 2 24 39 2" xfId="38742"/>
    <cellStyle name="Uwaga 2 24 39 3" xfId="38743"/>
    <cellStyle name="Uwaga 2 24 4" xfId="38744"/>
    <cellStyle name="Uwaga 2 24 4 2" xfId="38745"/>
    <cellStyle name="Uwaga 2 24 4 3" xfId="38746"/>
    <cellStyle name="Uwaga 2 24 4 4" xfId="38747"/>
    <cellStyle name="Uwaga 2 24 40" xfId="38748"/>
    <cellStyle name="Uwaga 2 24 40 2" xfId="38749"/>
    <cellStyle name="Uwaga 2 24 40 3" xfId="38750"/>
    <cellStyle name="Uwaga 2 24 41" xfId="38751"/>
    <cellStyle name="Uwaga 2 24 41 2" xfId="38752"/>
    <cellStyle name="Uwaga 2 24 41 3" xfId="38753"/>
    <cellStyle name="Uwaga 2 24 42" xfId="38754"/>
    <cellStyle name="Uwaga 2 24 42 2" xfId="38755"/>
    <cellStyle name="Uwaga 2 24 42 3" xfId="38756"/>
    <cellStyle name="Uwaga 2 24 43" xfId="38757"/>
    <cellStyle name="Uwaga 2 24 43 2" xfId="38758"/>
    <cellStyle name="Uwaga 2 24 43 3" xfId="38759"/>
    <cellStyle name="Uwaga 2 24 44" xfId="38760"/>
    <cellStyle name="Uwaga 2 24 44 2" xfId="38761"/>
    <cellStyle name="Uwaga 2 24 44 3" xfId="38762"/>
    <cellStyle name="Uwaga 2 24 45" xfId="38763"/>
    <cellStyle name="Uwaga 2 24 45 2" xfId="38764"/>
    <cellStyle name="Uwaga 2 24 45 3" xfId="38765"/>
    <cellStyle name="Uwaga 2 24 46" xfId="38766"/>
    <cellStyle name="Uwaga 2 24 46 2" xfId="38767"/>
    <cellStyle name="Uwaga 2 24 46 3" xfId="38768"/>
    <cellStyle name="Uwaga 2 24 47" xfId="38769"/>
    <cellStyle name="Uwaga 2 24 47 2" xfId="38770"/>
    <cellStyle name="Uwaga 2 24 47 3" xfId="38771"/>
    <cellStyle name="Uwaga 2 24 48" xfId="38772"/>
    <cellStyle name="Uwaga 2 24 48 2" xfId="38773"/>
    <cellStyle name="Uwaga 2 24 48 3" xfId="38774"/>
    <cellStyle name="Uwaga 2 24 49" xfId="38775"/>
    <cellStyle name="Uwaga 2 24 49 2" xfId="38776"/>
    <cellStyle name="Uwaga 2 24 49 3" xfId="38777"/>
    <cellStyle name="Uwaga 2 24 5" xfId="38778"/>
    <cellStyle name="Uwaga 2 24 5 2" xfId="38779"/>
    <cellStyle name="Uwaga 2 24 5 3" xfId="38780"/>
    <cellStyle name="Uwaga 2 24 5 4" xfId="38781"/>
    <cellStyle name="Uwaga 2 24 50" xfId="38782"/>
    <cellStyle name="Uwaga 2 24 50 2" xfId="38783"/>
    <cellStyle name="Uwaga 2 24 50 3" xfId="38784"/>
    <cellStyle name="Uwaga 2 24 51" xfId="38785"/>
    <cellStyle name="Uwaga 2 24 51 2" xfId="38786"/>
    <cellStyle name="Uwaga 2 24 51 3" xfId="38787"/>
    <cellStyle name="Uwaga 2 24 52" xfId="38788"/>
    <cellStyle name="Uwaga 2 24 52 2" xfId="38789"/>
    <cellStyle name="Uwaga 2 24 52 3" xfId="38790"/>
    <cellStyle name="Uwaga 2 24 53" xfId="38791"/>
    <cellStyle name="Uwaga 2 24 53 2" xfId="38792"/>
    <cellStyle name="Uwaga 2 24 53 3" xfId="38793"/>
    <cellStyle name="Uwaga 2 24 54" xfId="38794"/>
    <cellStyle name="Uwaga 2 24 54 2" xfId="38795"/>
    <cellStyle name="Uwaga 2 24 54 3" xfId="38796"/>
    <cellStyle name="Uwaga 2 24 55" xfId="38797"/>
    <cellStyle name="Uwaga 2 24 55 2" xfId="38798"/>
    <cellStyle name="Uwaga 2 24 55 3" xfId="38799"/>
    <cellStyle name="Uwaga 2 24 56" xfId="38800"/>
    <cellStyle name="Uwaga 2 24 56 2" xfId="38801"/>
    <cellStyle name="Uwaga 2 24 56 3" xfId="38802"/>
    <cellStyle name="Uwaga 2 24 57" xfId="38803"/>
    <cellStyle name="Uwaga 2 24 58" xfId="38804"/>
    <cellStyle name="Uwaga 2 24 6" xfId="38805"/>
    <cellStyle name="Uwaga 2 24 6 2" xfId="38806"/>
    <cellStyle name="Uwaga 2 24 6 3" xfId="38807"/>
    <cellStyle name="Uwaga 2 24 6 4" xfId="38808"/>
    <cellStyle name="Uwaga 2 24 7" xfId="38809"/>
    <cellStyle name="Uwaga 2 24 7 2" xfId="38810"/>
    <cellStyle name="Uwaga 2 24 7 3" xfId="38811"/>
    <cellStyle name="Uwaga 2 24 7 4" xfId="38812"/>
    <cellStyle name="Uwaga 2 24 8" xfId="38813"/>
    <cellStyle name="Uwaga 2 24 8 2" xfId="38814"/>
    <cellStyle name="Uwaga 2 24 8 3" xfId="38815"/>
    <cellStyle name="Uwaga 2 24 8 4" xfId="38816"/>
    <cellStyle name="Uwaga 2 24 9" xfId="38817"/>
    <cellStyle name="Uwaga 2 24 9 2" xfId="38818"/>
    <cellStyle name="Uwaga 2 24 9 3" xfId="38819"/>
    <cellStyle name="Uwaga 2 24 9 4" xfId="38820"/>
    <cellStyle name="Uwaga 2 25" xfId="38821"/>
    <cellStyle name="Uwaga 2 25 10" xfId="38822"/>
    <cellStyle name="Uwaga 2 25 10 2" xfId="38823"/>
    <cellStyle name="Uwaga 2 25 10 3" xfId="38824"/>
    <cellStyle name="Uwaga 2 25 10 4" xfId="38825"/>
    <cellStyle name="Uwaga 2 25 11" xfId="38826"/>
    <cellStyle name="Uwaga 2 25 11 2" xfId="38827"/>
    <cellStyle name="Uwaga 2 25 11 3" xfId="38828"/>
    <cellStyle name="Uwaga 2 25 11 4" xfId="38829"/>
    <cellStyle name="Uwaga 2 25 12" xfId="38830"/>
    <cellStyle name="Uwaga 2 25 12 2" xfId="38831"/>
    <cellStyle name="Uwaga 2 25 12 3" xfId="38832"/>
    <cellStyle name="Uwaga 2 25 12 4" xfId="38833"/>
    <cellStyle name="Uwaga 2 25 13" xfId="38834"/>
    <cellStyle name="Uwaga 2 25 13 2" xfId="38835"/>
    <cellStyle name="Uwaga 2 25 13 3" xfId="38836"/>
    <cellStyle name="Uwaga 2 25 13 4" xfId="38837"/>
    <cellStyle name="Uwaga 2 25 14" xfId="38838"/>
    <cellStyle name="Uwaga 2 25 14 2" xfId="38839"/>
    <cellStyle name="Uwaga 2 25 14 3" xfId="38840"/>
    <cellStyle name="Uwaga 2 25 14 4" xfId="38841"/>
    <cellStyle name="Uwaga 2 25 15" xfId="38842"/>
    <cellStyle name="Uwaga 2 25 15 2" xfId="38843"/>
    <cellStyle name="Uwaga 2 25 15 3" xfId="38844"/>
    <cellStyle name="Uwaga 2 25 15 4" xfId="38845"/>
    <cellStyle name="Uwaga 2 25 16" xfId="38846"/>
    <cellStyle name="Uwaga 2 25 16 2" xfId="38847"/>
    <cellStyle name="Uwaga 2 25 16 3" xfId="38848"/>
    <cellStyle name="Uwaga 2 25 16 4" xfId="38849"/>
    <cellStyle name="Uwaga 2 25 17" xfId="38850"/>
    <cellStyle name="Uwaga 2 25 17 2" xfId="38851"/>
    <cellStyle name="Uwaga 2 25 17 3" xfId="38852"/>
    <cellStyle name="Uwaga 2 25 17 4" xfId="38853"/>
    <cellStyle name="Uwaga 2 25 18" xfId="38854"/>
    <cellStyle name="Uwaga 2 25 18 2" xfId="38855"/>
    <cellStyle name="Uwaga 2 25 18 3" xfId="38856"/>
    <cellStyle name="Uwaga 2 25 18 4" xfId="38857"/>
    <cellStyle name="Uwaga 2 25 19" xfId="38858"/>
    <cellStyle name="Uwaga 2 25 19 2" xfId="38859"/>
    <cellStyle name="Uwaga 2 25 19 3" xfId="38860"/>
    <cellStyle name="Uwaga 2 25 19 4" xfId="38861"/>
    <cellStyle name="Uwaga 2 25 2" xfId="38862"/>
    <cellStyle name="Uwaga 2 25 2 2" xfId="38863"/>
    <cellStyle name="Uwaga 2 25 2 3" xfId="38864"/>
    <cellStyle name="Uwaga 2 25 2 4" xfId="38865"/>
    <cellStyle name="Uwaga 2 25 20" xfId="38866"/>
    <cellStyle name="Uwaga 2 25 20 2" xfId="38867"/>
    <cellStyle name="Uwaga 2 25 20 3" xfId="38868"/>
    <cellStyle name="Uwaga 2 25 20 4" xfId="38869"/>
    <cellStyle name="Uwaga 2 25 21" xfId="38870"/>
    <cellStyle name="Uwaga 2 25 21 2" xfId="38871"/>
    <cellStyle name="Uwaga 2 25 21 3" xfId="38872"/>
    <cellStyle name="Uwaga 2 25 22" xfId="38873"/>
    <cellStyle name="Uwaga 2 25 22 2" xfId="38874"/>
    <cellStyle name="Uwaga 2 25 22 3" xfId="38875"/>
    <cellStyle name="Uwaga 2 25 23" xfId="38876"/>
    <cellStyle name="Uwaga 2 25 23 2" xfId="38877"/>
    <cellStyle name="Uwaga 2 25 23 3" xfId="38878"/>
    <cellStyle name="Uwaga 2 25 24" xfId="38879"/>
    <cellStyle name="Uwaga 2 25 24 2" xfId="38880"/>
    <cellStyle name="Uwaga 2 25 24 3" xfId="38881"/>
    <cellStyle name="Uwaga 2 25 25" xfId="38882"/>
    <cellStyle name="Uwaga 2 25 25 2" xfId="38883"/>
    <cellStyle name="Uwaga 2 25 25 3" xfId="38884"/>
    <cellStyle name="Uwaga 2 25 26" xfId="38885"/>
    <cellStyle name="Uwaga 2 25 26 2" xfId="38886"/>
    <cellStyle name="Uwaga 2 25 26 3" xfId="38887"/>
    <cellStyle name="Uwaga 2 25 27" xfId="38888"/>
    <cellStyle name="Uwaga 2 25 27 2" xfId="38889"/>
    <cellStyle name="Uwaga 2 25 27 3" xfId="38890"/>
    <cellStyle name="Uwaga 2 25 28" xfId="38891"/>
    <cellStyle name="Uwaga 2 25 28 2" xfId="38892"/>
    <cellStyle name="Uwaga 2 25 28 3" xfId="38893"/>
    <cellStyle name="Uwaga 2 25 29" xfId="38894"/>
    <cellStyle name="Uwaga 2 25 29 2" xfId="38895"/>
    <cellStyle name="Uwaga 2 25 29 3" xfId="38896"/>
    <cellStyle name="Uwaga 2 25 3" xfId="38897"/>
    <cellStyle name="Uwaga 2 25 3 2" xfId="38898"/>
    <cellStyle name="Uwaga 2 25 3 3" xfId="38899"/>
    <cellStyle name="Uwaga 2 25 3 4" xfId="38900"/>
    <cellStyle name="Uwaga 2 25 30" xfId="38901"/>
    <cellStyle name="Uwaga 2 25 30 2" xfId="38902"/>
    <cellStyle name="Uwaga 2 25 30 3" xfId="38903"/>
    <cellStyle name="Uwaga 2 25 31" xfId="38904"/>
    <cellStyle name="Uwaga 2 25 31 2" xfId="38905"/>
    <cellStyle name="Uwaga 2 25 31 3" xfId="38906"/>
    <cellStyle name="Uwaga 2 25 32" xfId="38907"/>
    <cellStyle name="Uwaga 2 25 32 2" xfId="38908"/>
    <cellStyle name="Uwaga 2 25 32 3" xfId="38909"/>
    <cellStyle name="Uwaga 2 25 33" xfId="38910"/>
    <cellStyle name="Uwaga 2 25 33 2" xfId="38911"/>
    <cellStyle name="Uwaga 2 25 33 3" xfId="38912"/>
    <cellStyle name="Uwaga 2 25 34" xfId="38913"/>
    <cellStyle name="Uwaga 2 25 34 2" xfId="38914"/>
    <cellStyle name="Uwaga 2 25 34 3" xfId="38915"/>
    <cellStyle name="Uwaga 2 25 35" xfId="38916"/>
    <cellStyle name="Uwaga 2 25 35 2" xfId="38917"/>
    <cellStyle name="Uwaga 2 25 35 3" xfId="38918"/>
    <cellStyle name="Uwaga 2 25 36" xfId="38919"/>
    <cellStyle name="Uwaga 2 25 36 2" xfId="38920"/>
    <cellStyle name="Uwaga 2 25 36 3" xfId="38921"/>
    <cellStyle name="Uwaga 2 25 37" xfId="38922"/>
    <cellStyle name="Uwaga 2 25 37 2" xfId="38923"/>
    <cellStyle name="Uwaga 2 25 37 3" xfId="38924"/>
    <cellStyle name="Uwaga 2 25 38" xfId="38925"/>
    <cellStyle name="Uwaga 2 25 38 2" xfId="38926"/>
    <cellStyle name="Uwaga 2 25 38 3" xfId="38927"/>
    <cellStyle name="Uwaga 2 25 39" xfId="38928"/>
    <cellStyle name="Uwaga 2 25 39 2" xfId="38929"/>
    <cellStyle name="Uwaga 2 25 39 3" xfId="38930"/>
    <cellStyle name="Uwaga 2 25 4" xfId="38931"/>
    <cellStyle name="Uwaga 2 25 4 2" xfId="38932"/>
    <cellStyle name="Uwaga 2 25 4 3" xfId="38933"/>
    <cellStyle name="Uwaga 2 25 4 4" xfId="38934"/>
    <cellStyle name="Uwaga 2 25 40" xfId="38935"/>
    <cellStyle name="Uwaga 2 25 40 2" xfId="38936"/>
    <cellStyle name="Uwaga 2 25 40 3" xfId="38937"/>
    <cellStyle name="Uwaga 2 25 41" xfId="38938"/>
    <cellStyle name="Uwaga 2 25 41 2" xfId="38939"/>
    <cellStyle name="Uwaga 2 25 41 3" xfId="38940"/>
    <cellStyle name="Uwaga 2 25 42" xfId="38941"/>
    <cellStyle name="Uwaga 2 25 42 2" xfId="38942"/>
    <cellStyle name="Uwaga 2 25 42 3" xfId="38943"/>
    <cellStyle name="Uwaga 2 25 43" xfId="38944"/>
    <cellStyle name="Uwaga 2 25 43 2" xfId="38945"/>
    <cellStyle name="Uwaga 2 25 43 3" xfId="38946"/>
    <cellStyle name="Uwaga 2 25 44" xfId="38947"/>
    <cellStyle name="Uwaga 2 25 44 2" xfId="38948"/>
    <cellStyle name="Uwaga 2 25 44 3" xfId="38949"/>
    <cellStyle name="Uwaga 2 25 45" xfId="38950"/>
    <cellStyle name="Uwaga 2 25 45 2" xfId="38951"/>
    <cellStyle name="Uwaga 2 25 45 3" xfId="38952"/>
    <cellStyle name="Uwaga 2 25 46" xfId="38953"/>
    <cellStyle name="Uwaga 2 25 46 2" xfId="38954"/>
    <cellStyle name="Uwaga 2 25 46 3" xfId="38955"/>
    <cellStyle name="Uwaga 2 25 47" xfId="38956"/>
    <cellStyle name="Uwaga 2 25 47 2" xfId="38957"/>
    <cellStyle name="Uwaga 2 25 47 3" xfId="38958"/>
    <cellStyle name="Uwaga 2 25 48" xfId="38959"/>
    <cellStyle name="Uwaga 2 25 48 2" xfId="38960"/>
    <cellStyle name="Uwaga 2 25 48 3" xfId="38961"/>
    <cellStyle name="Uwaga 2 25 49" xfId="38962"/>
    <cellStyle name="Uwaga 2 25 49 2" xfId="38963"/>
    <cellStyle name="Uwaga 2 25 49 3" xfId="38964"/>
    <cellStyle name="Uwaga 2 25 5" xfId="38965"/>
    <cellStyle name="Uwaga 2 25 5 2" xfId="38966"/>
    <cellStyle name="Uwaga 2 25 5 3" xfId="38967"/>
    <cellStyle name="Uwaga 2 25 5 4" xfId="38968"/>
    <cellStyle name="Uwaga 2 25 50" xfId="38969"/>
    <cellStyle name="Uwaga 2 25 50 2" xfId="38970"/>
    <cellStyle name="Uwaga 2 25 50 3" xfId="38971"/>
    <cellStyle name="Uwaga 2 25 51" xfId="38972"/>
    <cellStyle name="Uwaga 2 25 51 2" xfId="38973"/>
    <cellStyle name="Uwaga 2 25 51 3" xfId="38974"/>
    <cellStyle name="Uwaga 2 25 52" xfId="38975"/>
    <cellStyle name="Uwaga 2 25 52 2" xfId="38976"/>
    <cellStyle name="Uwaga 2 25 52 3" xfId="38977"/>
    <cellStyle name="Uwaga 2 25 53" xfId="38978"/>
    <cellStyle name="Uwaga 2 25 53 2" xfId="38979"/>
    <cellStyle name="Uwaga 2 25 53 3" xfId="38980"/>
    <cellStyle name="Uwaga 2 25 54" xfId="38981"/>
    <cellStyle name="Uwaga 2 25 54 2" xfId="38982"/>
    <cellStyle name="Uwaga 2 25 54 3" xfId="38983"/>
    <cellStyle name="Uwaga 2 25 55" xfId="38984"/>
    <cellStyle name="Uwaga 2 25 55 2" xfId="38985"/>
    <cellStyle name="Uwaga 2 25 55 3" xfId="38986"/>
    <cellStyle name="Uwaga 2 25 56" xfId="38987"/>
    <cellStyle name="Uwaga 2 25 56 2" xfId="38988"/>
    <cellStyle name="Uwaga 2 25 56 3" xfId="38989"/>
    <cellStyle name="Uwaga 2 25 57" xfId="38990"/>
    <cellStyle name="Uwaga 2 25 58" xfId="38991"/>
    <cellStyle name="Uwaga 2 25 6" xfId="38992"/>
    <cellStyle name="Uwaga 2 25 6 2" xfId="38993"/>
    <cellStyle name="Uwaga 2 25 6 3" xfId="38994"/>
    <cellStyle name="Uwaga 2 25 6 4" xfId="38995"/>
    <cellStyle name="Uwaga 2 25 7" xfId="38996"/>
    <cellStyle name="Uwaga 2 25 7 2" xfId="38997"/>
    <cellStyle name="Uwaga 2 25 7 3" xfId="38998"/>
    <cellStyle name="Uwaga 2 25 7 4" xfId="38999"/>
    <cellStyle name="Uwaga 2 25 8" xfId="39000"/>
    <cellStyle name="Uwaga 2 25 8 2" xfId="39001"/>
    <cellStyle name="Uwaga 2 25 8 3" xfId="39002"/>
    <cellStyle name="Uwaga 2 25 8 4" xfId="39003"/>
    <cellStyle name="Uwaga 2 25 9" xfId="39004"/>
    <cellStyle name="Uwaga 2 25 9 2" xfId="39005"/>
    <cellStyle name="Uwaga 2 25 9 3" xfId="39006"/>
    <cellStyle name="Uwaga 2 25 9 4" xfId="39007"/>
    <cellStyle name="Uwaga 2 26" xfId="39008"/>
    <cellStyle name="Uwaga 2 26 10" xfId="39009"/>
    <cellStyle name="Uwaga 2 26 10 2" xfId="39010"/>
    <cellStyle name="Uwaga 2 26 10 3" xfId="39011"/>
    <cellStyle name="Uwaga 2 26 10 4" xfId="39012"/>
    <cellStyle name="Uwaga 2 26 11" xfId="39013"/>
    <cellStyle name="Uwaga 2 26 11 2" xfId="39014"/>
    <cellStyle name="Uwaga 2 26 11 3" xfId="39015"/>
    <cellStyle name="Uwaga 2 26 11 4" xfId="39016"/>
    <cellStyle name="Uwaga 2 26 12" xfId="39017"/>
    <cellStyle name="Uwaga 2 26 12 2" xfId="39018"/>
    <cellStyle name="Uwaga 2 26 12 3" xfId="39019"/>
    <cellStyle name="Uwaga 2 26 12 4" xfId="39020"/>
    <cellStyle name="Uwaga 2 26 13" xfId="39021"/>
    <cellStyle name="Uwaga 2 26 13 2" xfId="39022"/>
    <cellStyle name="Uwaga 2 26 13 3" xfId="39023"/>
    <cellStyle name="Uwaga 2 26 13 4" xfId="39024"/>
    <cellStyle name="Uwaga 2 26 14" xfId="39025"/>
    <cellStyle name="Uwaga 2 26 14 2" xfId="39026"/>
    <cellStyle name="Uwaga 2 26 14 3" xfId="39027"/>
    <cellStyle name="Uwaga 2 26 14 4" xfId="39028"/>
    <cellStyle name="Uwaga 2 26 15" xfId="39029"/>
    <cellStyle name="Uwaga 2 26 15 2" xfId="39030"/>
    <cellStyle name="Uwaga 2 26 15 3" xfId="39031"/>
    <cellStyle name="Uwaga 2 26 15 4" xfId="39032"/>
    <cellStyle name="Uwaga 2 26 16" xfId="39033"/>
    <cellStyle name="Uwaga 2 26 16 2" xfId="39034"/>
    <cellStyle name="Uwaga 2 26 16 3" xfId="39035"/>
    <cellStyle name="Uwaga 2 26 16 4" xfId="39036"/>
    <cellStyle name="Uwaga 2 26 17" xfId="39037"/>
    <cellStyle name="Uwaga 2 26 17 2" xfId="39038"/>
    <cellStyle name="Uwaga 2 26 17 3" xfId="39039"/>
    <cellStyle name="Uwaga 2 26 17 4" xfId="39040"/>
    <cellStyle name="Uwaga 2 26 18" xfId="39041"/>
    <cellStyle name="Uwaga 2 26 18 2" xfId="39042"/>
    <cellStyle name="Uwaga 2 26 18 3" xfId="39043"/>
    <cellStyle name="Uwaga 2 26 18 4" xfId="39044"/>
    <cellStyle name="Uwaga 2 26 19" xfId="39045"/>
    <cellStyle name="Uwaga 2 26 19 2" xfId="39046"/>
    <cellStyle name="Uwaga 2 26 19 3" xfId="39047"/>
    <cellStyle name="Uwaga 2 26 19 4" xfId="39048"/>
    <cellStyle name="Uwaga 2 26 2" xfId="39049"/>
    <cellStyle name="Uwaga 2 26 2 2" xfId="39050"/>
    <cellStyle name="Uwaga 2 26 2 3" xfId="39051"/>
    <cellStyle name="Uwaga 2 26 2 4" xfId="39052"/>
    <cellStyle name="Uwaga 2 26 20" xfId="39053"/>
    <cellStyle name="Uwaga 2 26 20 2" xfId="39054"/>
    <cellStyle name="Uwaga 2 26 20 3" xfId="39055"/>
    <cellStyle name="Uwaga 2 26 20 4" xfId="39056"/>
    <cellStyle name="Uwaga 2 26 21" xfId="39057"/>
    <cellStyle name="Uwaga 2 26 21 2" xfId="39058"/>
    <cellStyle name="Uwaga 2 26 21 3" xfId="39059"/>
    <cellStyle name="Uwaga 2 26 22" xfId="39060"/>
    <cellStyle name="Uwaga 2 26 22 2" xfId="39061"/>
    <cellStyle name="Uwaga 2 26 22 3" xfId="39062"/>
    <cellStyle name="Uwaga 2 26 23" xfId="39063"/>
    <cellStyle name="Uwaga 2 26 23 2" xfId="39064"/>
    <cellStyle name="Uwaga 2 26 23 3" xfId="39065"/>
    <cellStyle name="Uwaga 2 26 24" xfId="39066"/>
    <cellStyle name="Uwaga 2 26 24 2" xfId="39067"/>
    <cellStyle name="Uwaga 2 26 24 3" xfId="39068"/>
    <cellStyle name="Uwaga 2 26 25" xfId="39069"/>
    <cellStyle name="Uwaga 2 26 25 2" xfId="39070"/>
    <cellStyle name="Uwaga 2 26 25 3" xfId="39071"/>
    <cellStyle name="Uwaga 2 26 26" xfId="39072"/>
    <cellStyle name="Uwaga 2 26 26 2" xfId="39073"/>
    <cellStyle name="Uwaga 2 26 26 3" xfId="39074"/>
    <cellStyle name="Uwaga 2 26 27" xfId="39075"/>
    <cellStyle name="Uwaga 2 26 27 2" xfId="39076"/>
    <cellStyle name="Uwaga 2 26 27 3" xfId="39077"/>
    <cellStyle name="Uwaga 2 26 28" xfId="39078"/>
    <cellStyle name="Uwaga 2 26 28 2" xfId="39079"/>
    <cellStyle name="Uwaga 2 26 28 3" xfId="39080"/>
    <cellStyle name="Uwaga 2 26 29" xfId="39081"/>
    <cellStyle name="Uwaga 2 26 29 2" xfId="39082"/>
    <cellStyle name="Uwaga 2 26 29 3" xfId="39083"/>
    <cellStyle name="Uwaga 2 26 3" xfId="39084"/>
    <cellStyle name="Uwaga 2 26 3 2" xfId="39085"/>
    <cellStyle name="Uwaga 2 26 3 3" xfId="39086"/>
    <cellStyle name="Uwaga 2 26 3 4" xfId="39087"/>
    <cellStyle name="Uwaga 2 26 30" xfId="39088"/>
    <cellStyle name="Uwaga 2 26 30 2" xfId="39089"/>
    <cellStyle name="Uwaga 2 26 30 3" xfId="39090"/>
    <cellStyle name="Uwaga 2 26 31" xfId="39091"/>
    <cellStyle name="Uwaga 2 26 31 2" xfId="39092"/>
    <cellStyle name="Uwaga 2 26 31 3" xfId="39093"/>
    <cellStyle name="Uwaga 2 26 32" xfId="39094"/>
    <cellStyle name="Uwaga 2 26 32 2" xfId="39095"/>
    <cellStyle name="Uwaga 2 26 32 3" xfId="39096"/>
    <cellStyle name="Uwaga 2 26 33" xfId="39097"/>
    <cellStyle name="Uwaga 2 26 33 2" xfId="39098"/>
    <cellStyle name="Uwaga 2 26 33 3" xfId="39099"/>
    <cellStyle name="Uwaga 2 26 34" xfId="39100"/>
    <cellStyle name="Uwaga 2 26 34 2" xfId="39101"/>
    <cellStyle name="Uwaga 2 26 34 3" xfId="39102"/>
    <cellStyle name="Uwaga 2 26 35" xfId="39103"/>
    <cellStyle name="Uwaga 2 26 35 2" xfId="39104"/>
    <cellStyle name="Uwaga 2 26 35 3" xfId="39105"/>
    <cellStyle name="Uwaga 2 26 36" xfId="39106"/>
    <cellStyle name="Uwaga 2 26 36 2" xfId="39107"/>
    <cellStyle name="Uwaga 2 26 36 3" xfId="39108"/>
    <cellStyle name="Uwaga 2 26 37" xfId="39109"/>
    <cellStyle name="Uwaga 2 26 37 2" xfId="39110"/>
    <cellStyle name="Uwaga 2 26 37 3" xfId="39111"/>
    <cellStyle name="Uwaga 2 26 38" xfId="39112"/>
    <cellStyle name="Uwaga 2 26 38 2" xfId="39113"/>
    <cellStyle name="Uwaga 2 26 38 3" xfId="39114"/>
    <cellStyle name="Uwaga 2 26 39" xfId="39115"/>
    <cellStyle name="Uwaga 2 26 39 2" xfId="39116"/>
    <cellStyle name="Uwaga 2 26 39 3" xfId="39117"/>
    <cellStyle name="Uwaga 2 26 4" xfId="39118"/>
    <cellStyle name="Uwaga 2 26 4 2" xfId="39119"/>
    <cellStyle name="Uwaga 2 26 4 3" xfId="39120"/>
    <cellStyle name="Uwaga 2 26 4 4" xfId="39121"/>
    <cellStyle name="Uwaga 2 26 40" xfId="39122"/>
    <cellStyle name="Uwaga 2 26 40 2" xfId="39123"/>
    <cellStyle name="Uwaga 2 26 40 3" xfId="39124"/>
    <cellStyle name="Uwaga 2 26 41" xfId="39125"/>
    <cellStyle name="Uwaga 2 26 41 2" xfId="39126"/>
    <cellStyle name="Uwaga 2 26 41 3" xfId="39127"/>
    <cellStyle name="Uwaga 2 26 42" xfId="39128"/>
    <cellStyle name="Uwaga 2 26 42 2" xfId="39129"/>
    <cellStyle name="Uwaga 2 26 42 3" xfId="39130"/>
    <cellStyle name="Uwaga 2 26 43" xfId="39131"/>
    <cellStyle name="Uwaga 2 26 43 2" xfId="39132"/>
    <cellStyle name="Uwaga 2 26 43 3" xfId="39133"/>
    <cellStyle name="Uwaga 2 26 44" xfId="39134"/>
    <cellStyle name="Uwaga 2 26 44 2" xfId="39135"/>
    <cellStyle name="Uwaga 2 26 44 3" xfId="39136"/>
    <cellStyle name="Uwaga 2 26 45" xfId="39137"/>
    <cellStyle name="Uwaga 2 26 45 2" xfId="39138"/>
    <cellStyle name="Uwaga 2 26 45 3" xfId="39139"/>
    <cellStyle name="Uwaga 2 26 46" xfId="39140"/>
    <cellStyle name="Uwaga 2 26 46 2" xfId="39141"/>
    <cellStyle name="Uwaga 2 26 46 3" xfId="39142"/>
    <cellStyle name="Uwaga 2 26 47" xfId="39143"/>
    <cellStyle name="Uwaga 2 26 47 2" xfId="39144"/>
    <cellStyle name="Uwaga 2 26 47 3" xfId="39145"/>
    <cellStyle name="Uwaga 2 26 48" xfId="39146"/>
    <cellStyle name="Uwaga 2 26 48 2" xfId="39147"/>
    <cellStyle name="Uwaga 2 26 48 3" xfId="39148"/>
    <cellStyle name="Uwaga 2 26 49" xfId="39149"/>
    <cellStyle name="Uwaga 2 26 49 2" xfId="39150"/>
    <cellStyle name="Uwaga 2 26 49 3" xfId="39151"/>
    <cellStyle name="Uwaga 2 26 5" xfId="39152"/>
    <cellStyle name="Uwaga 2 26 5 2" xfId="39153"/>
    <cellStyle name="Uwaga 2 26 5 3" xfId="39154"/>
    <cellStyle name="Uwaga 2 26 5 4" xfId="39155"/>
    <cellStyle name="Uwaga 2 26 50" xfId="39156"/>
    <cellStyle name="Uwaga 2 26 50 2" xfId="39157"/>
    <cellStyle name="Uwaga 2 26 50 3" xfId="39158"/>
    <cellStyle name="Uwaga 2 26 51" xfId="39159"/>
    <cellStyle name="Uwaga 2 26 51 2" xfId="39160"/>
    <cellStyle name="Uwaga 2 26 51 3" xfId="39161"/>
    <cellStyle name="Uwaga 2 26 52" xfId="39162"/>
    <cellStyle name="Uwaga 2 26 52 2" xfId="39163"/>
    <cellStyle name="Uwaga 2 26 52 3" xfId="39164"/>
    <cellStyle name="Uwaga 2 26 53" xfId="39165"/>
    <cellStyle name="Uwaga 2 26 53 2" xfId="39166"/>
    <cellStyle name="Uwaga 2 26 53 3" xfId="39167"/>
    <cellStyle name="Uwaga 2 26 54" xfId="39168"/>
    <cellStyle name="Uwaga 2 26 54 2" xfId="39169"/>
    <cellStyle name="Uwaga 2 26 54 3" xfId="39170"/>
    <cellStyle name="Uwaga 2 26 55" xfId="39171"/>
    <cellStyle name="Uwaga 2 26 55 2" xfId="39172"/>
    <cellStyle name="Uwaga 2 26 55 3" xfId="39173"/>
    <cellStyle name="Uwaga 2 26 56" xfId="39174"/>
    <cellStyle name="Uwaga 2 26 56 2" xfId="39175"/>
    <cellStyle name="Uwaga 2 26 56 3" xfId="39176"/>
    <cellStyle name="Uwaga 2 26 57" xfId="39177"/>
    <cellStyle name="Uwaga 2 26 58" xfId="39178"/>
    <cellStyle name="Uwaga 2 26 6" xfId="39179"/>
    <cellStyle name="Uwaga 2 26 6 2" xfId="39180"/>
    <cellStyle name="Uwaga 2 26 6 3" xfId="39181"/>
    <cellStyle name="Uwaga 2 26 6 4" xfId="39182"/>
    <cellStyle name="Uwaga 2 26 7" xfId="39183"/>
    <cellStyle name="Uwaga 2 26 7 2" xfId="39184"/>
    <cellStyle name="Uwaga 2 26 7 3" xfId="39185"/>
    <cellStyle name="Uwaga 2 26 7 4" xfId="39186"/>
    <cellStyle name="Uwaga 2 26 8" xfId="39187"/>
    <cellStyle name="Uwaga 2 26 8 2" xfId="39188"/>
    <cellStyle name="Uwaga 2 26 8 3" xfId="39189"/>
    <cellStyle name="Uwaga 2 26 8 4" xfId="39190"/>
    <cellStyle name="Uwaga 2 26 9" xfId="39191"/>
    <cellStyle name="Uwaga 2 26 9 2" xfId="39192"/>
    <cellStyle name="Uwaga 2 26 9 3" xfId="39193"/>
    <cellStyle name="Uwaga 2 26 9 4" xfId="39194"/>
    <cellStyle name="Uwaga 2 27" xfId="39195"/>
    <cellStyle name="Uwaga 2 27 10" xfId="39196"/>
    <cellStyle name="Uwaga 2 27 10 2" xfId="39197"/>
    <cellStyle name="Uwaga 2 27 10 3" xfId="39198"/>
    <cellStyle name="Uwaga 2 27 10 4" xfId="39199"/>
    <cellStyle name="Uwaga 2 27 11" xfId="39200"/>
    <cellStyle name="Uwaga 2 27 11 2" xfId="39201"/>
    <cellStyle name="Uwaga 2 27 11 3" xfId="39202"/>
    <cellStyle name="Uwaga 2 27 11 4" xfId="39203"/>
    <cellStyle name="Uwaga 2 27 12" xfId="39204"/>
    <cellStyle name="Uwaga 2 27 12 2" xfId="39205"/>
    <cellStyle name="Uwaga 2 27 12 3" xfId="39206"/>
    <cellStyle name="Uwaga 2 27 12 4" xfId="39207"/>
    <cellStyle name="Uwaga 2 27 13" xfId="39208"/>
    <cellStyle name="Uwaga 2 27 13 2" xfId="39209"/>
    <cellStyle name="Uwaga 2 27 13 3" xfId="39210"/>
    <cellStyle name="Uwaga 2 27 13 4" xfId="39211"/>
    <cellStyle name="Uwaga 2 27 14" xfId="39212"/>
    <cellStyle name="Uwaga 2 27 14 2" xfId="39213"/>
    <cellStyle name="Uwaga 2 27 14 3" xfId="39214"/>
    <cellStyle name="Uwaga 2 27 14 4" xfId="39215"/>
    <cellStyle name="Uwaga 2 27 15" xfId="39216"/>
    <cellStyle name="Uwaga 2 27 15 2" xfId="39217"/>
    <cellStyle name="Uwaga 2 27 15 3" xfId="39218"/>
    <cellStyle name="Uwaga 2 27 15 4" xfId="39219"/>
    <cellStyle name="Uwaga 2 27 16" xfId="39220"/>
    <cellStyle name="Uwaga 2 27 16 2" xfId="39221"/>
    <cellStyle name="Uwaga 2 27 16 3" xfId="39222"/>
    <cellStyle name="Uwaga 2 27 16 4" xfId="39223"/>
    <cellStyle name="Uwaga 2 27 17" xfId="39224"/>
    <cellStyle name="Uwaga 2 27 17 2" xfId="39225"/>
    <cellStyle name="Uwaga 2 27 17 3" xfId="39226"/>
    <cellStyle name="Uwaga 2 27 17 4" xfId="39227"/>
    <cellStyle name="Uwaga 2 27 18" xfId="39228"/>
    <cellStyle name="Uwaga 2 27 18 2" xfId="39229"/>
    <cellStyle name="Uwaga 2 27 18 3" xfId="39230"/>
    <cellStyle name="Uwaga 2 27 18 4" xfId="39231"/>
    <cellStyle name="Uwaga 2 27 19" xfId="39232"/>
    <cellStyle name="Uwaga 2 27 19 2" xfId="39233"/>
    <cellStyle name="Uwaga 2 27 19 3" xfId="39234"/>
    <cellStyle name="Uwaga 2 27 19 4" xfId="39235"/>
    <cellStyle name="Uwaga 2 27 2" xfId="39236"/>
    <cellStyle name="Uwaga 2 27 2 2" xfId="39237"/>
    <cellStyle name="Uwaga 2 27 2 3" xfId="39238"/>
    <cellStyle name="Uwaga 2 27 2 4" xfId="39239"/>
    <cellStyle name="Uwaga 2 27 20" xfId="39240"/>
    <cellStyle name="Uwaga 2 27 20 2" xfId="39241"/>
    <cellStyle name="Uwaga 2 27 20 3" xfId="39242"/>
    <cellStyle name="Uwaga 2 27 20 4" xfId="39243"/>
    <cellStyle name="Uwaga 2 27 21" xfId="39244"/>
    <cellStyle name="Uwaga 2 27 21 2" xfId="39245"/>
    <cellStyle name="Uwaga 2 27 21 3" xfId="39246"/>
    <cellStyle name="Uwaga 2 27 22" xfId="39247"/>
    <cellStyle name="Uwaga 2 27 22 2" xfId="39248"/>
    <cellStyle name="Uwaga 2 27 22 3" xfId="39249"/>
    <cellStyle name="Uwaga 2 27 23" xfId="39250"/>
    <cellStyle name="Uwaga 2 27 23 2" xfId="39251"/>
    <cellStyle name="Uwaga 2 27 23 3" xfId="39252"/>
    <cellStyle name="Uwaga 2 27 24" xfId="39253"/>
    <cellStyle name="Uwaga 2 27 24 2" xfId="39254"/>
    <cellStyle name="Uwaga 2 27 24 3" xfId="39255"/>
    <cellStyle name="Uwaga 2 27 25" xfId="39256"/>
    <cellStyle name="Uwaga 2 27 25 2" xfId="39257"/>
    <cellStyle name="Uwaga 2 27 25 3" xfId="39258"/>
    <cellStyle name="Uwaga 2 27 26" xfId="39259"/>
    <cellStyle name="Uwaga 2 27 26 2" xfId="39260"/>
    <cellStyle name="Uwaga 2 27 26 3" xfId="39261"/>
    <cellStyle name="Uwaga 2 27 27" xfId="39262"/>
    <cellStyle name="Uwaga 2 27 27 2" xfId="39263"/>
    <cellStyle name="Uwaga 2 27 27 3" xfId="39264"/>
    <cellStyle name="Uwaga 2 27 28" xfId="39265"/>
    <cellStyle name="Uwaga 2 27 28 2" xfId="39266"/>
    <cellStyle name="Uwaga 2 27 28 3" xfId="39267"/>
    <cellStyle name="Uwaga 2 27 29" xfId="39268"/>
    <cellStyle name="Uwaga 2 27 29 2" xfId="39269"/>
    <cellStyle name="Uwaga 2 27 29 3" xfId="39270"/>
    <cellStyle name="Uwaga 2 27 3" xfId="39271"/>
    <cellStyle name="Uwaga 2 27 3 2" xfId="39272"/>
    <cellStyle name="Uwaga 2 27 3 3" xfId="39273"/>
    <cellStyle name="Uwaga 2 27 3 4" xfId="39274"/>
    <cellStyle name="Uwaga 2 27 30" xfId="39275"/>
    <cellStyle name="Uwaga 2 27 30 2" xfId="39276"/>
    <cellStyle name="Uwaga 2 27 30 3" xfId="39277"/>
    <cellStyle name="Uwaga 2 27 31" xfId="39278"/>
    <cellStyle name="Uwaga 2 27 31 2" xfId="39279"/>
    <cellStyle name="Uwaga 2 27 31 3" xfId="39280"/>
    <cellStyle name="Uwaga 2 27 32" xfId="39281"/>
    <cellStyle name="Uwaga 2 27 32 2" xfId="39282"/>
    <cellStyle name="Uwaga 2 27 32 3" xfId="39283"/>
    <cellStyle name="Uwaga 2 27 33" xfId="39284"/>
    <cellStyle name="Uwaga 2 27 33 2" xfId="39285"/>
    <cellStyle name="Uwaga 2 27 33 3" xfId="39286"/>
    <cellStyle name="Uwaga 2 27 34" xfId="39287"/>
    <cellStyle name="Uwaga 2 27 34 2" xfId="39288"/>
    <cellStyle name="Uwaga 2 27 34 3" xfId="39289"/>
    <cellStyle name="Uwaga 2 27 35" xfId="39290"/>
    <cellStyle name="Uwaga 2 27 35 2" xfId="39291"/>
    <cellStyle name="Uwaga 2 27 35 3" xfId="39292"/>
    <cellStyle name="Uwaga 2 27 36" xfId="39293"/>
    <cellStyle name="Uwaga 2 27 36 2" xfId="39294"/>
    <cellStyle name="Uwaga 2 27 36 3" xfId="39295"/>
    <cellStyle name="Uwaga 2 27 37" xfId="39296"/>
    <cellStyle name="Uwaga 2 27 37 2" xfId="39297"/>
    <cellStyle name="Uwaga 2 27 37 3" xfId="39298"/>
    <cellStyle name="Uwaga 2 27 38" xfId="39299"/>
    <cellStyle name="Uwaga 2 27 38 2" xfId="39300"/>
    <cellStyle name="Uwaga 2 27 38 3" xfId="39301"/>
    <cellStyle name="Uwaga 2 27 39" xfId="39302"/>
    <cellStyle name="Uwaga 2 27 39 2" xfId="39303"/>
    <cellStyle name="Uwaga 2 27 39 3" xfId="39304"/>
    <cellStyle name="Uwaga 2 27 4" xfId="39305"/>
    <cellStyle name="Uwaga 2 27 4 2" xfId="39306"/>
    <cellStyle name="Uwaga 2 27 4 3" xfId="39307"/>
    <cellStyle name="Uwaga 2 27 4 4" xfId="39308"/>
    <cellStyle name="Uwaga 2 27 40" xfId="39309"/>
    <cellStyle name="Uwaga 2 27 40 2" xfId="39310"/>
    <cellStyle name="Uwaga 2 27 40 3" xfId="39311"/>
    <cellStyle name="Uwaga 2 27 41" xfId="39312"/>
    <cellStyle name="Uwaga 2 27 41 2" xfId="39313"/>
    <cellStyle name="Uwaga 2 27 41 3" xfId="39314"/>
    <cellStyle name="Uwaga 2 27 42" xfId="39315"/>
    <cellStyle name="Uwaga 2 27 42 2" xfId="39316"/>
    <cellStyle name="Uwaga 2 27 42 3" xfId="39317"/>
    <cellStyle name="Uwaga 2 27 43" xfId="39318"/>
    <cellStyle name="Uwaga 2 27 43 2" xfId="39319"/>
    <cellStyle name="Uwaga 2 27 43 3" xfId="39320"/>
    <cellStyle name="Uwaga 2 27 44" xfId="39321"/>
    <cellStyle name="Uwaga 2 27 44 2" xfId="39322"/>
    <cellStyle name="Uwaga 2 27 44 3" xfId="39323"/>
    <cellStyle name="Uwaga 2 27 45" xfId="39324"/>
    <cellStyle name="Uwaga 2 27 45 2" xfId="39325"/>
    <cellStyle name="Uwaga 2 27 45 3" xfId="39326"/>
    <cellStyle name="Uwaga 2 27 46" xfId="39327"/>
    <cellStyle name="Uwaga 2 27 46 2" xfId="39328"/>
    <cellStyle name="Uwaga 2 27 46 3" xfId="39329"/>
    <cellStyle name="Uwaga 2 27 47" xfId="39330"/>
    <cellStyle name="Uwaga 2 27 47 2" xfId="39331"/>
    <cellStyle name="Uwaga 2 27 47 3" xfId="39332"/>
    <cellStyle name="Uwaga 2 27 48" xfId="39333"/>
    <cellStyle name="Uwaga 2 27 48 2" xfId="39334"/>
    <cellStyle name="Uwaga 2 27 48 3" xfId="39335"/>
    <cellStyle name="Uwaga 2 27 49" xfId="39336"/>
    <cellStyle name="Uwaga 2 27 49 2" xfId="39337"/>
    <cellStyle name="Uwaga 2 27 49 3" xfId="39338"/>
    <cellStyle name="Uwaga 2 27 5" xfId="39339"/>
    <cellStyle name="Uwaga 2 27 5 2" xfId="39340"/>
    <cellStyle name="Uwaga 2 27 5 3" xfId="39341"/>
    <cellStyle name="Uwaga 2 27 5 4" xfId="39342"/>
    <cellStyle name="Uwaga 2 27 50" xfId="39343"/>
    <cellStyle name="Uwaga 2 27 50 2" xfId="39344"/>
    <cellStyle name="Uwaga 2 27 50 3" xfId="39345"/>
    <cellStyle name="Uwaga 2 27 51" xfId="39346"/>
    <cellStyle name="Uwaga 2 27 51 2" xfId="39347"/>
    <cellStyle name="Uwaga 2 27 51 3" xfId="39348"/>
    <cellStyle name="Uwaga 2 27 52" xfId="39349"/>
    <cellStyle name="Uwaga 2 27 52 2" xfId="39350"/>
    <cellStyle name="Uwaga 2 27 52 3" xfId="39351"/>
    <cellStyle name="Uwaga 2 27 53" xfId="39352"/>
    <cellStyle name="Uwaga 2 27 53 2" xfId="39353"/>
    <cellStyle name="Uwaga 2 27 53 3" xfId="39354"/>
    <cellStyle name="Uwaga 2 27 54" xfId="39355"/>
    <cellStyle name="Uwaga 2 27 54 2" xfId="39356"/>
    <cellStyle name="Uwaga 2 27 54 3" xfId="39357"/>
    <cellStyle name="Uwaga 2 27 55" xfId="39358"/>
    <cellStyle name="Uwaga 2 27 55 2" xfId="39359"/>
    <cellStyle name="Uwaga 2 27 55 3" xfId="39360"/>
    <cellStyle name="Uwaga 2 27 56" xfId="39361"/>
    <cellStyle name="Uwaga 2 27 56 2" xfId="39362"/>
    <cellStyle name="Uwaga 2 27 56 3" xfId="39363"/>
    <cellStyle name="Uwaga 2 27 57" xfId="39364"/>
    <cellStyle name="Uwaga 2 27 58" xfId="39365"/>
    <cellStyle name="Uwaga 2 27 6" xfId="39366"/>
    <cellStyle name="Uwaga 2 27 6 2" xfId="39367"/>
    <cellStyle name="Uwaga 2 27 6 3" xfId="39368"/>
    <cellStyle name="Uwaga 2 27 6 4" xfId="39369"/>
    <cellStyle name="Uwaga 2 27 7" xfId="39370"/>
    <cellStyle name="Uwaga 2 27 7 2" xfId="39371"/>
    <cellStyle name="Uwaga 2 27 7 3" xfId="39372"/>
    <cellStyle name="Uwaga 2 27 7 4" xfId="39373"/>
    <cellStyle name="Uwaga 2 27 8" xfId="39374"/>
    <cellStyle name="Uwaga 2 27 8 2" xfId="39375"/>
    <cellStyle name="Uwaga 2 27 8 3" xfId="39376"/>
    <cellStyle name="Uwaga 2 27 8 4" xfId="39377"/>
    <cellStyle name="Uwaga 2 27 9" xfId="39378"/>
    <cellStyle name="Uwaga 2 27 9 2" xfId="39379"/>
    <cellStyle name="Uwaga 2 27 9 3" xfId="39380"/>
    <cellStyle name="Uwaga 2 27 9 4" xfId="39381"/>
    <cellStyle name="Uwaga 2 28" xfId="39382"/>
    <cellStyle name="Uwaga 2 28 10" xfId="39383"/>
    <cellStyle name="Uwaga 2 28 10 2" xfId="39384"/>
    <cellStyle name="Uwaga 2 28 10 3" xfId="39385"/>
    <cellStyle name="Uwaga 2 28 10 4" xfId="39386"/>
    <cellStyle name="Uwaga 2 28 11" xfId="39387"/>
    <cellStyle name="Uwaga 2 28 11 2" xfId="39388"/>
    <cellStyle name="Uwaga 2 28 11 3" xfId="39389"/>
    <cellStyle name="Uwaga 2 28 11 4" xfId="39390"/>
    <cellStyle name="Uwaga 2 28 12" xfId="39391"/>
    <cellStyle name="Uwaga 2 28 12 2" xfId="39392"/>
    <cellStyle name="Uwaga 2 28 12 3" xfId="39393"/>
    <cellStyle name="Uwaga 2 28 12 4" xfId="39394"/>
    <cellStyle name="Uwaga 2 28 13" xfId="39395"/>
    <cellStyle name="Uwaga 2 28 13 2" xfId="39396"/>
    <cellStyle name="Uwaga 2 28 13 3" xfId="39397"/>
    <cellStyle name="Uwaga 2 28 13 4" xfId="39398"/>
    <cellStyle name="Uwaga 2 28 14" xfId="39399"/>
    <cellStyle name="Uwaga 2 28 14 2" xfId="39400"/>
    <cellStyle name="Uwaga 2 28 14 3" xfId="39401"/>
    <cellStyle name="Uwaga 2 28 14 4" xfId="39402"/>
    <cellStyle name="Uwaga 2 28 15" xfId="39403"/>
    <cellStyle name="Uwaga 2 28 15 2" xfId="39404"/>
    <cellStyle name="Uwaga 2 28 15 3" xfId="39405"/>
    <cellStyle name="Uwaga 2 28 15 4" xfId="39406"/>
    <cellStyle name="Uwaga 2 28 16" xfId="39407"/>
    <cellStyle name="Uwaga 2 28 16 2" xfId="39408"/>
    <cellStyle name="Uwaga 2 28 16 3" xfId="39409"/>
    <cellStyle name="Uwaga 2 28 16 4" xfId="39410"/>
    <cellStyle name="Uwaga 2 28 17" xfId="39411"/>
    <cellStyle name="Uwaga 2 28 17 2" xfId="39412"/>
    <cellStyle name="Uwaga 2 28 17 3" xfId="39413"/>
    <cellStyle name="Uwaga 2 28 17 4" xfId="39414"/>
    <cellStyle name="Uwaga 2 28 18" xfId="39415"/>
    <cellStyle name="Uwaga 2 28 18 2" xfId="39416"/>
    <cellStyle name="Uwaga 2 28 18 3" xfId="39417"/>
    <cellStyle name="Uwaga 2 28 18 4" xfId="39418"/>
    <cellStyle name="Uwaga 2 28 19" xfId="39419"/>
    <cellStyle name="Uwaga 2 28 19 2" xfId="39420"/>
    <cellStyle name="Uwaga 2 28 19 3" xfId="39421"/>
    <cellStyle name="Uwaga 2 28 19 4" xfId="39422"/>
    <cellStyle name="Uwaga 2 28 2" xfId="39423"/>
    <cellStyle name="Uwaga 2 28 2 2" xfId="39424"/>
    <cellStyle name="Uwaga 2 28 2 3" xfId="39425"/>
    <cellStyle name="Uwaga 2 28 2 4" xfId="39426"/>
    <cellStyle name="Uwaga 2 28 20" xfId="39427"/>
    <cellStyle name="Uwaga 2 28 20 2" xfId="39428"/>
    <cellStyle name="Uwaga 2 28 20 3" xfId="39429"/>
    <cellStyle name="Uwaga 2 28 20 4" xfId="39430"/>
    <cellStyle name="Uwaga 2 28 21" xfId="39431"/>
    <cellStyle name="Uwaga 2 28 21 2" xfId="39432"/>
    <cellStyle name="Uwaga 2 28 21 3" xfId="39433"/>
    <cellStyle name="Uwaga 2 28 22" xfId="39434"/>
    <cellStyle name="Uwaga 2 28 22 2" xfId="39435"/>
    <cellStyle name="Uwaga 2 28 22 3" xfId="39436"/>
    <cellStyle name="Uwaga 2 28 23" xfId="39437"/>
    <cellStyle name="Uwaga 2 28 23 2" xfId="39438"/>
    <cellStyle name="Uwaga 2 28 23 3" xfId="39439"/>
    <cellStyle name="Uwaga 2 28 24" xfId="39440"/>
    <cellStyle name="Uwaga 2 28 24 2" xfId="39441"/>
    <cellStyle name="Uwaga 2 28 24 3" xfId="39442"/>
    <cellStyle name="Uwaga 2 28 25" xfId="39443"/>
    <cellStyle name="Uwaga 2 28 25 2" xfId="39444"/>
    <cellStyle name="Uwaga 2 28 25 3" xfId="39445"/>
    <cellStyle name="Uwaga 2 28 26" xfId="39446"/>
    <cellStyle name="Uwaga 2 28 26 2" xfId="39447"/>
    <cellStyle name="Uwaga 2 28 26 3" xfId="39448"/>
    <cellStyle name="Uwaga 2 28 27" xfId="39449"/>
    <cellStyle name="Uwaga 2 28 27 2" xfId="39450"/>
    <cellStyle name="Uwaga 2 28 27 3" xfId="39451"/>
    <cellStyle name="Uwaga 2 28 28" xfId="39452"/>
    <cellStyle name="Uwaga 2 28 28 2" xfId="39453"/>
    <cellStyle name="Uwaga 2 28 28 3" xfId="39454"/>
    <cellStyle name="Uwaga 2 28 29" xfId="39455"/>
    <cellStyle name="Uwaga 2 28 29 2" xfId="39456"/>
    <cellStyle name="Uwaga 2 28 29 3" xfId="39457"/>
    <cellStyle name="Uwaga 2 28 3" xfId="39458"/>
    <cellStyle name="Uwaga 2 28 3 2" xfId="39459"/>
    <cellStyle name="Uwaga 2 28 3 3" xfId="39460"/>
    <cellStyle name="Uwaga 2 28 3 4" xfId="39461"/>
    <cellStyle name="Uwaga 2 28 30" xfId="39462"/>
    <cellStyle name="Uwaga 2 28 30 2" xfId="39463"/>
    <cellStyle name="Uwaga 2 28 30 3" xfId="39464"/>
    <cellStyle name="Uwaga 2 28 31" xfId="39465"/>
    <cellStyle name="Uwaga 2 28 31 2" xfId="39466"/>
    <cellStyle name="Uwaga 2 28 31 3" xfId="39467"/>
    <cellStyle name="Uwaga 2 28 32" xfId="39468"/>
    <cellStyle name="Uwaga 2 28 32 2" xfId="39469"/>
    <cellStyle name="Uwaga 2 28 32 3" xfId="39470"/>
    <cellStyle name="Uwaga 2 28 33" xfId="39471"/>
    <cellStyle name="Uwaga 2 28 33 2" xfId="39472"/>
    <cellStyle name="Uwaga 2 28 33 3" xfId="39473"/>
    <cellStyle name="Uwaga 2 28 34" xfId="39474"/>
    <cellStyle name="Uwaga 2 28 34 2" xfId="39475"/>
    <cellStyle name="Uwaga 2 28 34 3" xfId="39476"/>
    <cellStyle name="Uwaga 2 28 35" xfId="39477"/>
    <cellStyle name="Uwaga 2 28 35 2" xfId="39478"/>
    <cellStyle name="Uwaga 2 28 35 3" xfId="39479"/>
    <cellStyle name="Uwaga 2 28 36" xfId="39480"/>
    <cellStyle name="Uwaga 2 28 36 2" xfId="39481"/>
    <cellStyle name="Uwaga 2 28 36 3" xfId="39482"/>
    <cellStyle name="Uwaga 2 28 37" xfId="39483"/>
    <cellStyle name="Uwaga 2 28 37 2" xfId="39484"/>
    <cellStyle name="Uwaga 2 28 37 3" xfId="39485"/>
    <cellStyle name="Uwaga 2 28 38" xfId="39486"/>
    <cellStyle name="Uwaga 2 28 38 2" xfId="39487"/>
    <cellStyle name="Uwaga 2 28 38 3" xfId="39488"/>
    <cellStyle name="Uwaga 2 28 39" xfId="39489"/>
    <cellStyle name="Uwaga 2 28 39 2" xfId="39490"/>
    <cellStyle name="Uwaga 2 28 39 3" xfId="39491"/>
    <cellStyle name="Uwaga 2 28 4" xfId="39492"/>
    <cellStyle name="Uwaga 2 28 4 2" xfId="39493"/>
    <cellStyle name="Uwaga 2 28 4 3" xfId="39494"/>
    <cellStyle name="Uwaga 2 28 4 4" xfId="39495"/>
    <cellStyle name="Uwaga 2 28 40" xfId="39496"/>
    <cellStyle name="Uwaga 2 28 40 2" xfId="39497"/>
    <cellStyle name="Uwaga 2 28 40 3" xfId="39498"/>
    <cellStyle name="Uwaga 2 28 41" xfId="39499"/>
    <cellStyle name="Uwaga 2 28 41 2" xfId="39500"/>
    <cellStyle name="Uwaga 2 28 41 3" xfId="39501"/>
    <cellStyle name="Uwaga 2 28 42" xfId="39502"/>
    <cellStyle name="Uwaga 2 28 42 2" xfId="39503"/>
    <cellStyle name="Uwaga 2 28 42 3" xfId="39504"/>
    <cellStyle name="Uwaga 2 28 43" xfId="39505"/>
    <cellStyle name="Uwaga 2 28 43 2" xfId="39506"/>
    <cellStyle name="Uwaga 2 28 43 3" xfId="39507"/>
    <cellStyle name="Uwaga 2 28 44" xfId="39508"/>
    <cellStyle name="Uwaga 2 28 44 2" xfId="39509"/>
    <cellStyle name="Uwaga 2 28 44 3" xfId="39510"/>
    <cellStyle name="Uwaga 2 28 45" xfId="39511"/>
    <cellStyle name="Uwaga 2 28 45 2" xfId="39512"/>
    <cellStyle name="Uwaga 2 28 45 3" xfId="39513"/>
    <cellStyle name="Uwaga 2 28 46" xfId="39514"/>
    <cellStyle name="Uwaga 2 28 46 2" xfId="39515"/>
    <cellStyle name="Uwaga 2 28 46 3" xfId="39516"/>
    <cellStyle name="Uwaga 2 28 47" xfId="39517"/>
    <cellStyle name="Uwaga 2 28 47 2" xfId="39518"/>
    <cellStyle name="Uwaga 2 28 47 3" xfId="39519"/>
    <cellStyle name="Uwaga 2 28 48" xfId="39520"/>
    <cellStyle name="Uwaga 2 28 48 2" xfId="39521"/>
    <cellStyle name="Uwaga 2 28 48 3" xfId="39522"/>
    <cellStyle name="Uwaga 2 28 49" xfId="39523"/>
    <cellStyle name="Uwaga 2 28 49 2" xfId="39524"/>
    <cellStyle name="Uwaga 2 28 49 3" xfId="39525"/>
    <cellStyle name="Uwaga 2 28 5" xfId="39526"/>
    <cellStyle name="Uwaga 2 28 5 2" xfId="39527"/>
    <cellStyle name="Uwaga 2 28 5 3" xfId="39528"/>
    <cellStyle name="Uwaga 2 28 5 4" xfId="39529"/>
    <cellStyle name="Uwaga 2 28 50" xfId="39530"/>
    <cellStyle name="Uwaga 2 28 50 2" xfId="39531"/>
    <cellStyle name="Uwaga 2 28 50 3" xfId="39532"/>
    <cellStyle name="Uwaga 2 28 51" xfId="39533"/>
    <cellStyle name="Uwaga 2 28 51 2" xfId="39534"/>
    <cellStyle name="Uwaga 2 28 51 3" xfId="39535"/>
    <cellStyle name="Uwaga 2 28 52" xfId="39536"/>
    <cellStyle name="Uwaga 2 28 52 2" xfId="39537"/>
    <cellStyle name="Uwaga 2 28 52 3" xfId="39538"/>
    <cellStyle name="Uwaga 2 28 53" xfId="39539"/>
    <cellStyle name="Uwaga 2 28 53 2" xfId="39540"/>
    <cellStyle name="Uwaga 2 28 53 3" xfId="39541"/>
    <cellStyle name="Uwaga 2 28 54" xfId="39542"/>
    <cellStyle name="Uwaga 2 28 54 2" xfId="39543"/>
    <cellStyle name="Uwaga 2 28 54 3" xfId="39544"/>
    <cellStyle name="Uwaga 2 28 55" xfId="39545"/>
    <cellStyle name="Uwaga 2 28 55 2" xfId="39546"/>
    <cellStyle name="Uwaga 2 28 55 3" xfId="39547"/>
    <cellStyle name="Uwaga 2 28 56" xfId="39548"/>
    <cellStyle name="Uwaga 2 28 56 2" xfId="39549"/>
    <cellStyle name="Uwaga 2 28 56 3" xfId="39550"/>
    <cellStyle name="Uwaga 2 28 57" xfId="39551"/>
    <cellStyle name="Uwaga 2 28 58" xfId="39552"/>
    <cellStyle name="Uwaga 2 28 6" xfId="39553"/>
    <cellStyle name="Uwaga 2 28 6 2" xfId="39554"/>
    <cellStyle name="Uwaga 2 28 6 3" xfId="39555"/>
    <cellStyle name="Uwaga 2 28 6 4" xfId="39556"/>
    <cellStyle name="Uwaga 2 28 7" xfId="39557"/>
    <cellStyle name="Uwaga 2 28 7 2" xfId="39558"/>
    <cellStyle name="Uwaga 2 28 7 3" xfId="39559"/>
    <cellStyle name="Uwaga 2 28 7 4" xfId="39560"/>
    <cellStyle name="Uwaga 2 28 8" xfId="39561"/>
    <cellStyle name="Uwaga 2 28 8 2" xfId="39562"/>
    <cellStyle name="Uwaga 2 28 8 3" xfId="39563"/>
    <cellStyle name="Uwaga 2 28 8 4" xfId="39564"/>
    <cellStyle name="Uwaga 2 28 9" xfId="39565"/>
    <cellStyle name="Uwaga 2 28 9 2" xfId="39566"/>
    <cellStyle name="Uwaga 2 28 9 3" xfId="39567"/>
    <cellStyle name="Uwaga 2 28 9 4" xfId="39568"/>
    <cellStyle name="Uwaga 2 29" xfId="39569"/>
    <cellStyle name="Uwaga 2 29 2" xfId="39570"/>
    <cellStyle name="Uwaga 2 3" xfId="39571"/>
    <cellStyle name="Uwaga 2 3 10" xfId="39572"/>
    <cellStyle name="Uwaga 2 3 10 2" xfId="39573"/>
    <cellStyle name="Uwaga 2 3 10 3" xfId="39574"/>
    <cellStyle name="Uwaga 2 3 10 4" xfId="39575"/>
    <cellStyle name="Uwaga 2 3 11" xfId="39576"/>
    <cellStyle name="Uwaga 2 3 11 2" xfId="39577"/>
    <cellStyle name="Uwaga 2 3 11 3" xfId="39578"/>
    <cellStyle name="Uwaga 2 3 11 4" xfId="39579"/>
    <cellStyle name="Uwaga 2 3 12" xfId="39580"/>
    <cellStyle name="Uwaga 2 3 12 2" xfId="39581"/>
    <cellStyle name="Uwaga 2 3 12 3" xfId="39582"/>
    <cellStyle name="Uwaga 2 3 12 4" xfId="39583"/>
    <cellStyle name="Uwaga 2 3 13" xfId="39584"/>
    <cellStyle name="Uwaga 2 3 13 2" xfId="39585"/>
    <cellStyle name="Uwaga 2 3 13 3" xfId="39586"/>
    <cellStyle name="Uwaga 2 3 13 4" xfId="39587"/>
    <cellStyle name="Uwaga 2 3 14" xfId="39588"/>
    <cellStyle name="Uwaga 2 3 14 2" xfId="39589"/>
    <cellStyle name="Uwaga 2 3 14 3" xfId="39590"/>
    <cellStyle name="Uwaga 2 3 14 4" xfId="39591"/>
    <cellStyle name="Uwaga 2 3 15" xfId="39592"/>
    <cellStyle name="Uwaga 2 3 15 2" xfId="39593"/>
    <cellStyle name="Uwaga 2 3 15 3" xfId="39594"/>
    <cellStyle name="Uwaga 2 3 15 4" xfId="39595"/>
    <cellStyle name="Uwaga 2 3 16" xfId="39596"/>
    <cellStyle name="Uwaga 2 3 16 2" xfId="39597"/>
    <cellStyle name="Uwaga 2 3 16 3" xfId="39598"/>
    <cellStyle name="Uwaga 2 3 16 4" xfId="39599"/>
    <cellStyle name="Uwaga 2 3 17" xfId="39600"/>
    <cellStyle name="Uwaga 2 3 17 2" xfId="39601"/>
    <cellStyle name="Uwaga 2 3 17 3" xfId="39602"/>
    <cellStyle name="Uwaga 2 3 17 4" xfId="39603"/>
    <cellStyle name="Uwaga 2 3 18" xfId="39604"/>
    <cellStyle name="Uwaga 2 3 18 2" xfId="39605"/>
    <cellStyle name="Uwaga 2 3 18 3" xfId="39606"/>
    <cellStyle name="Uwaga 2 3 18 4" xfId="39607"/>
    <cellStyle name="Uwaga 2 3 19" xfId="39608"/>
    <cellStyle name="Uwaga 2 3 19 2" xfId="39609"/>
    <cellStyle name="Uwaga 2 3 19 3" xfId="39610"/>
    <cellStyle name="Uwaga 2 3 19 4" xfId="39611"/>
    <cellStyle name="Uwaga 2 3 2" xfId="39612"/>
    <cellStyle name="Uwaga 2 3 2 2" xfId="39613"/>
    <cellStyle name="Uwaga 2 3 2 3" xfId="39614"/>
    <cellStyle name="Uwaga 2 3 2 4" xfId="39615"/>
    <cellStyle name="Uwaga 2 3 20" xfId="39616"/>
    <cellStyle name="Uwaga 2 3 20 2" xfId="39617"/>
    <cellStyle name="Uwaga 2 3 20 3" xfId="39618"/>
    <cellStyle name="Uwaga 2 3 20 4" xfId="39619"/>
    <cellStyle name="Uwaga 2 3 21" xfId="39620"/>
    <cellStyle name="Uwaga 2 3 21 2" xfId="39621"/>
    <cellStyle name="Uwaga 2 3 21 3" xfId="39622"/>
    <cellStyle name="Uwaga 2 3 22" xfId="39623"/>
    <cellStyle name="Uwaga 2 3 22 2" xfId="39624"/>
    <cellStyle name="Uwaga 2 3 22 3" xfId="39625"/>
    <cellStyle name="Uwaga 2 3 23" xfId="39626"/>
    <cellStyle name="Uwaga 2 3 23 2" xfId="39627"/>
    <cellStyle name="Uwaga 2 3 23 3" xfId="39628"/>
    <cellStyle name="Uwaga 2 3 24" xfId="39629"/>
    <cellStyle name="Uwaga 2 3 24 2" xfId="39630"/>
    <cellStyle name="Uwaga 2 3 24 3" xfId="39631"/>
    <cellStyle name="Uwaga 2 3 25" xfId="39632"/>
    <cellStyle name="Uwaga 2 3 25 2" xfId="39633"/>
    <cellStyle name="Uwaga 2 3 25 3" xfId="39634"/>
    <cellStyle name="Uwaga 2 3 26" xfId="39635"/>
    <cellStyle name="Uwaga 2 3 26 2" xfId="39636"/>
    <cellStyle name="Uwaga 2 3 26 3" xfId="39637"/>
    <cellStyle name="Uwaga 2 3 27" xfId="39638"/>
    <cellStyle name="Uwaga 2 3 27 2" xfId="39639"/>
    <cellStyle name="Uwaga 2 3 27 3" xfId="39640"/>
    <cellStyle name="Uwaga 2 3 28" xfId="39641"/>
    <cellStyle name="Uwaga 2 3 28 2" xfId="39642"/>
    <cellStyle name="Uwaga 2 3 28 3" xfId="39643"/>
    <cellStyle name="Uwaga 2 3 29" xfId="39644"/>
    <cellStyle name="Uwaga 2 3 29 2" xfId="39645"/>
    <cellStyle name="Uwaga 2 3 29 3" xfId="39646"/>
    <cellStyle name="Uwaga 2 3 3" xfId="39647"/>
    <cellStyle name="Uwaga 2 3 3 2" xfId="39648"/>
    <cellStyle name="Uwaga 2 3 3 3" xfId="39649"/>
    <cellStyle name="Uwaga 2 3 3 4" xfId="39650"/>
    <cellStyle name="Uwaga 2 3 30" xfId="39651"/>
    <cellStyle name="Uwaga 2 3 30 2" xfId="39652"/>
    <cellStyle name="Uwaga 2 3 30 3" xfId="39653"/>
    <cellStyle name="Uwaga 2 3 31" xfId="39654"/>
    <cellStyle name="Uwaga 2 3 31 2" xfId="39655"/>
    <cellStyle name="Uwaga 2 3 31 3" xfId="39656"/>
    <cellStyle name="Uwaga 2 3 32" xfId="39657"/>
    <cellStyle name="Uwaga 2 3 32 2" xfId="39658"/>
    <cellStyle name="Uwaga 2 3 32 3" xfId="39659"/>
    <cellStyle name="Uwaga 2 3 33" xfId="39660"/>
    <cellStyle name="Uwaga 2 3 33 2" xfId="39661"/>
    <cellStyle name="Uwaga 2 3 33 3" xfId="39662"/>
    <cellStyle name="Uwaga 2 3 34" xfId="39663"/>
    <cellStyle name="Uwaga 2 3 34 2" xfId="39664"/>
    <cellStyle name="Uwaga 2 3 34 3" xfId="39665"/>
    <cellStyle name="Uwaga 2 3 35" xfId="39666"/>
    <cellStyle name="Uwaga 2 3 35 2" xfId="39667"/>
    <cellStyle name="Uwaga 2 3 35 3" xfId="39668"/>
    <cellStyle name="Uwaga 2 3 36" xfId="39669"/>
    <cellStyle name="Uwaga 2 3 36 2" xfId="39670"/>
    <cellStyle name="Uwaga 2 3 36 3" xfId="39671"/>
    <cellStyle name="Uwaga 2 3 37" xfId="39672"/>
    <cellStyle name="Uwaga 2 3 37 2" xfId="39673"/>
    <cellStyle name="Uwaga 2 3 37 3" xfId="39674"/>
    <cellStyle name="Uwaga 2 3 38" xfId="39675"/>
    <cellStyle name="Uwaga 2 3 38 2" xfId="39676"/>
    <cellStyle name="Uwaga 2 3 38 3" xfId="39677"/>
    <cellStyle name="Uwaga 2 3 39" xfId="39678"/>
    <cellStyle name="Uwaga 2 3 39 2" xfId="39679"/>
    <cellStyle name="Uwaga 2 3 39 3" xfId="39680"/>
    <cellStyle name="Uwaga 2 3 4" xfId="39681"/>
    <cellStyle name="Uwaga 2 3 4 2" xfId="39682"/>
    <cellStyle name="Uwaga 2 3 4 3" xfId="39683"/>
    <cellStyle name="Uwaga 2 3 4 4" xfId="39684"/>
    <cellStyle name="Uwaga 2 3 40" xfId="39685"/>
    <cellStyle name="Uwaga 2 3 40 2" xfId="39686"/>
    <cellStyle name="Uwaga 2 3 40 3" xfId="39687"/>
    <cellStyle name="Uwaga 2 3 41" xfId="39688"/>
    <cellStyle name="Uwaga 2 3 41 2" xfId="39689"/>
    <cellStyle name="Uwaga 2 3 41 3" xfId="39690"/>
    <cellStyle name="Uwaga 2 3 42" xfId="39691"/>
    <cellStyle name="Uwaga 2 3 42 2" xfId="39692"/>
    <cellStyle name="Uwaga 2 3 42 3" xfId="39693"/>
    <cellStyle name="Uwaga 2 3 43" xfId="39694"/>
    <cellStyle name="Uwaga 2 3 43 2" xfId="39695"/>
    <cellStyle name="Uwaga 2 3 43 3" xfId="39696"/>
    <cellStyle name="Uwaga 2 3 44" xfId="39697"/>
    <cellStyle name="Uwaga 2 3 44 2" xfId="39698"/>
    <cellStyle name="Uwaga 2 3 44 3" xfId="39699"/>
    <cellStyle name="Uwaga 2 3 45" xfId="39700"/>
    <cellStyle name="Uwaga 2 3 45 2" xfId="39701"/>
    <cellStyle name="Uwaga 2 3 45 3" xfId="39702"/>
    <cellStyle name="Uwaga 2 3 46" xfId="39703"/>
    <cellStyle name="Uwaga 2 3 46 2" xfId="39704"/>
    <cellStyle name="Uwaga 2 3 46 3" xfId="39705"/>
    <cellStyle name="Uwaga 2 3 47" xfId="39706"/>
    <cellStyle name="Uwaga 2 3 47 2" xfId="39707"/>
    <cellStyle name="Uwaga 2 3 47 3" xfId="39708"/>
    <cellStyle name="Uwaga 2 3 48" xfId="39709"/>
    <cellStyle name="Uwaga 2 3 48 2" xfId="39710"/>
    <cellStyle name="Uwaga 2 3 48 3" xfId="39711"/>
    <cellStyle name="Uwaga 2 3 49" xfId="39712"/>
    <cellStyle name="Uwaga 2 3 49 2" xfId="39713"/>
    <cellStyle name="Uwaga 2 3 49 3" xfId="39714"/>
    <cellStyle name="Uwaga 2 3 5" xfId="39715"/>
    <cellStyle name="Uwaga 2 3 5 2" xfId="39716"/>
    <cellStyle name="Uwaga 2 3 5 3" xfId="39717"/>
    <cellStyle name="Uwaga 2 3 5 4" xfId="39718"/>
    <cellStyle name="Uwaga 2 3 50" xfId="39719"/>
    <cellStyle name="Uwaga 2 3 50 2" xfId="39720"/>
    <cellStyle name="Uwaga 2 3 50 3" xfId="39721"/>
    <cellStyle name="Uwaga 2 3 51" xfId="39722"/>
    <cellStyle name="Uwaga 2 3 51 2" xfId="39723"/>
    <cellStyle name="Uwaga 2 3 51 3" xfId="39724"/>
    <cellStyle name="Uwaga 2 3 52" xfId="39725"/>
    <cellStyle name="Uwaga 2 3 52 2" xfId="39726"/>
    <cellStyle name="Uwaga 2 3 52 3" xfId="39727"/>
    <cellStyle name="Uwaga 2 3 53" xfId="39728"/>
    <cellStyle name="Uwaga 2 3 53 2" xfId="39729"/>
    <cellStyle name="Uwaga 2 3 53 3" xfId="39730"/>
    <cellStyle name="Uwaga 2 3 54" xfId="39731"/>
    <cellStyle name="Uwaga 2 3 54 2" xfId="39732"/>
    <cellStyle name="Uwaga 2 3 54 3" xfId="39733"/>
    <cellStyle name="Uwaga 2 3 55" xfId="39734"/>
    <cellStyle name="Uwaga 2 3 55 2" xfId="39735"/>
    <cellStyle name="Uwaga 2 3 55 3" xfId="39736"/>
    <cellStyle name="Uwaga 2 3 56" xfId="39737"/>
    <cellStyle name="Uwaga 2 3 56 2" xfId="39738"/>
    <cellStyle name="Uwaga 2 3 56 3" xfId="39739"/>
    <cellStyle name="Uwaga 2 3 57" xfId="39740"/>
    <cellStyle name="Uwaga 2 3 58" xfId="39741"/>
    <cellStyle name="Uwaga 2 3 59" xfId="39742"/>
    <cellStyle name="Uwaga 2 3 6" xfId="39743"/>
    <cellStyle name="Uwaga 2 3 6 2" xfId="39744"/>
    <cellStyle name="Uwaga 2 3 6 3" xfId="39745"/>
    <cellStyle name="Uwaga 2 3 6 4" xfId="39746"/>
    <cellStyle name="Uwaga 2 3 7" xfId="39747"/>
    <cellStyle name="Uwaga 2 3 7 2" xfId="39748"/>
    <cellStyle name="Uwaga 2 3 7 3" xfId="39749"/>
    <cellStyle name="Uwaga 2 3 7 4" xfId="39750"/>
    <cellStyle name="Uwaga 2 3 8" xfId="39751"/>
    <cellStyle name="Uwaga 2 3 8 2" xfId="39752"/>
    <cellStyle name="Uwaga 2 3 8 3" xfId="39753"/>
    <cellStyle name="Uwaga 2 3 8 4" xfId="39754"/>
    <cellStyle name="Uwaga 2 3 9" xfId="39755"/>
    <cellStyle name="Uwaga 2 3 9 2" xfId="39756"/>
    <cellStyle name="Uwaga 2 3 9 3" xfId="39757"/>
    <cellStyle name="Uwaga 2 3 9 4" xfId="39758"/>
    <cellStyle name="Uwaga 2 30" xfId="39759"/>
    <cellStyle name="Uwaga 2 30 2" xfId="39760"/>
    <cellStyle name="Uwaga 2 31" xfId="39761"/>
    <cellStyle name="Uwaga 2 31 2" xfId="39762"/>
    <cellStyle name="Uwaga 2 31 3" xfId="39763"/>
    <cellStyle name="Uwaga 2 31 4" xfId="39764"/>
    <cellStyle name="Uwaga 2 32" xfId="39765"/>
    <cellStyle name="Uwaga 2 32 2" xfId="39766"/>
    <cellStyle name="Uwaga 2 32 3" xfId="39767"/>
    <cellStyle name="Uwaga 2 32 4" xfId="39768"/>
    <cellStyle name="Uwaga 2 33" xfId="39769"/>
    <cellStyle name="Uwaga 2 33 2" xfId="39770"/>
    <cellStyle name="Uwaga 2 33 3" xfId="39771"/>
    <cellStyle name="Uwaga 2 33 4" xfId="39772"/>
    <cellStyle name="Uwaga 2 34" xfId="39773"/>
    <cellStyle name="Uwaga 2 34 2" xfId="39774"/>
    <cellStyle name="Uwaga 2 34 3" xfId="39775"/>
    <cellStyle name="Uwaga 2 34 4" xfId="39776"/>
    <cellStyle name="Uwaga 2 35" xfId="39777"/>
    <cellStyle name="Uwaga 2 35 2" xfId="39778"/>
    <cellStyle name="Uwaga 2 35 3" xfId="39779"/>
    <cellStyle name="Uwaga 2 35 4" xfId="39780"/>
    <cellStyle name="Uwaga 2 36" xfId="39781"/>
    <cellStyle name="Uwaga 2 36 2" xfId="39782"/>
    <cellStyle name="Uwaga 2 36 3" xfId="39783"/>
    <cellStyle name="Uwaga 2 36 4" xfId="39784"/>
    <cellStyle name="Uwaga 2 37" xfId="39785"/>
    <cellStyle name="Uwaga 2 37 2" xfId="39786"/>
    <cellStyle name="Uwaga 2 37 3" xfId="39787"/>
    <cellStyle name="Uwaga 2 37 4" xfId="39788"/>
    <cellStyle name="Uwaga 2 38" xfId="39789"/>
    <cellStyle name="Uwaga 2 38 2" xfId="39790"/>
    <cellStyle name="Uwaga 2 38 3" xfId="39791"/>
    <cellStyle name="Uwaga 2 38 4" xfId="39792"/>
    <cellStyle name="Uwaga 2 39" xfId="39793"/>
    <cellStyle name="Uwaga 2 39 2" xfId="39794"/>
    <cellStyle name="Uwaga 2 39 3" xfId="39795"/>
    <cellStyle name="Uwaga 2 39 4" xfId="39796"/>
    <cellStyle name="Uwaga 2 4" xfId="39797"/>
    <cellStyle name="Uwaga 2 4 10" xfId="39798"/>
    <cellStyle name="Uwaga 2 4 10 2" xfId="39799"/>
    <cellStyle name="Uwaga 2 4 10 3" xfId="39800"/>
    <cellStyle name="Uwaga 2 4 10 4" xfId="39801"/>
    <cellStyle name="Uwaga 2 4 11" xfId="39802"/>
    <cellStyle name="Uwaga 2 4 11 2" xfId="39803"/>
    <cellStyle name="Uwaga 2 4 11 3" xfId="39804"/>
    <cellStyle name="Uwaga 2 4 11 4" xfId="39805"/>
    <cellStyle name="Uwaga 2 4 12" xfId="39806"/>
    <cellStyle name="Uwaga 2 4 12 2" xfId="39807"/>
    <cellStyle name="Uwaga 2 4 12 3" xfId="39808"/>
    <cellStyle name="Uwaga 2 4 12 4" xfId="39809"/>
    <cellStyle name="Uwaga 2 4 13" xfId="39810"/>
    <cellStyle name="Uwaga 2 4 13 2" xfId="39811"/>
    <cellStyle name="Uwaga 2 4 13 3" xfId="39812"/>
    <cellStyle name="Uwaga 2 4 13 4" xfId="39813"/>
    <cellStyle name="Uwaga 2 4 14" xfId="39814"/>
    <cellStyle name="Uwaga 2 4 14 2" xfId="39815"/>
    <cellStyle name="Uwaga 2 4 14 3" xfId="39816"/>
    <cellStyle name="Uwaga 2 4 14 4" xfId="39817"/>
    <cellStyle name="Uwaga 2 4 15" xfId="39818"/>
    <cellStyle name="Uwaga 2 4 15 2" xfId="39819"/>
    <cellStyle name="Uwaga 2 4 15 3" xfId="39820"/>
    <cellStyle name="Uwaga 2 4 15 4" xfId="39821"/>
    <cellStyle name="Uwaga 2 4 16" xfId="39822"/>
    <cellStyle name="Uwaga 2 4 16 2" xfId="39823"/>
    <cellStyle name="Uwaga 2 4 16 3" xfId="39824"/>
    <cellStyle name="Uwaga 2 4 16 4" xfId="39825"/>
    <cellStyle name="Uwaga 2 4 17" xfId="39826"/>
    <cellStyle name="Uwaga 2 4 17 2" xfId="39827"/>
    <cellStyle name="Uwaga 2 4 17 3" xfId="39828"/>
    <cellStyle name="Uwaga 2 4 17 4" xfId="39829"/>
    <cellStyle name="Uwaga 2 4 18" xfId="39830"/>
    <cellStyle name="Uwaga 2 4 18 2" xfId="39831"/>
    <cellStyle name="Uwaga 2 4 18 3" xfId="39832"/>
    <cellStyle name="Uwaga 2 4 18 4" xfId="39833"/>
    <cellStyle name="Uwaga 2 4 19" xfId="39834"/>
    <cellStyle name="Uwaga 2 4 19 2" xfId="39835"/>
    <cellStyle name="Uwaga 2 4 19 3" xfId="39836"/>
    <cellStyle name="Uwaga 2 4 19 4" xfId="39837"/>
    <cellStyle name="Uwaga 2 4 2" xfId="39838"/>
    <cellStyle name="Uwaga 2 4 2 2" xfId="39839"/>
    <cellStyle name="Uwaga 2 4 2 3" xfId="39840"/>
    <cellStyle name="Uwaga 2 4 2 4" xfId="39841"/>
    <cellStyle name="Uwaga 2 4 20" xfId="39842"/>
    <cellStyle name="Uwaga 2 4 20 2" xfId="39843"/>
    <cellStyle name="Uwaga 2 4 20 3" xfId="39844"/>
    <cellStyle name="Uwaga 2 4 20 4" xfId="39845"/>
    <cellStyle name="Uwaga 2 4 21" xfId="39846"/>
    <cellStyle name="Uwaga 2 4 21 2" xfId="39847"/>
    <cellStyle name="Uwaga 2 4 21 3" xfId="39848"/>
    <cellStyle name="Uwaga 2 4 22" xfId="39849"/>
    <cellStyle name="Uwaga 2 4 22 2" xfId="39850"/>
    <cellStyle name="Uwaga 2 4 22 3" xfId="39851"/>
    <cellStyle name="Uwaga 2 4 23" xfId="39852"/>
    <cellStyle name="Uwaga 2 4 23 2" xfId="39853"/>
    <cellStyle name="Uwaga 2 4 23 3" xfId="39854"/>
    <cellStyle name="Uwaga 2 4 24" xfId="39855"/>
    <cellStyle name="Uwaga 2 4 24 2" xfId="39856"/>
    <cellStyle name="Uwaga 2 4 24 3" xfId="39857"/>
    <cellStyle name="Uwaga 2 4 25" xfId="39858"/>
    <cellStyle name="Uwaga 2 4 25 2" xfId="39859"/>
    <cellStyle name="Uwaga 2 4 25 3" xfId="39860"/>
    <cellStyle name="Uwaga 2 4 26" xfId="39861"/>
    <cellStyle name="Uwaga 2 4 26 2" xfId="39862"/>
    <cellStyle name="Uwaga 2 4 26 3" xfId="39863"/>
    <cellStyle name="Uwaga 2 4 27" xfId="39864"/>
    <cellStyle name="Uwaga 2 4 27 2" xfId="39865"/>
    <cellStyle name="Uwaga 2 4 27 3" xfId="39866"/>
    <cellStyle name="Uwaga 2 4 28" xfId="39867"/>
    <cellStyle name="Uwaga 2 4 28 2" xfId="39868"/>
    <cellStyle name="Uwaga 2 4 28 3" xfId="39869"/>
    <cellStyle name="Uwaga 2 4 29" xfId="39870"/>
    <cellStyle name="Uwaga 2 4 29 2" xfId="39871"/>
    <cellStyle name="Uwaga 2 4 29 3" xfId="39872"/>
    <cellStyle name="Uwaga 2 4 3" xfId="39873"/>
    <cellStyle name="Uwaga 2 4 3 2" xfId="39874"/>
    <cellStyle name="Uwaga 2 4 3 3" xfId="39875"/>
    <cellStyle name="Uwaga 2 4 3 4" xfId="39876"/>
    <cellStyle name="Uwaga 2 4 30" xfId="39877"/>
    <cellStyle name="Uwaga 2 4 30 2" xfId="39878"/>
    <cellStyle name="Uwaga 2 4 30 3" xfId="39879"/>
    <cellStyle name="Uwaga 2 4 31" xfId="39880"/>
    <cellStyle name="Uwaga 2 4 31 2" xfId="39881"/>
    <cellStyle name="Uwaga 2 4 31 3" xfId="39882"/>
    <cellStyle name="Uwaga 2 4 32" xfId="39883"/>
    <cellStyle name="Uwaga 2 4 32 2" xfId="39884"/>
    <cellStyle name="Uwaga 2 4 32 3" xfId="39885"/>
    <cellStyle name="Uwaga 2 4 33" xfId="39886"/>
    <cellStyle name="Uwaga 2 4 33 2" xfId="39887"/>
    <cellStyle name="Uwaga 2 4 33 3" xfId="39888"/>
    <cellStyle name="Uwaga 2 4 34" xfId="39889"/>
    <cellStyle name="Uwaga 2 4 34 2" xfId="39890"/>
    <cellStyle name="Uwaga 2 4 34 3" xfId="39891"/>
    <cellStyle name="Uwaga 2 4 35" xfId="39892"/>
    <cellStyle name="Uwaga 2 4 35 2" xfId="39893"/>
    <cellStyle name="Uwaga 2 4 35 3" xfId="39894"/>
    <cellStyle name="Uwaga 2 4 36" xfId="39895"/>
    <cellStyle name="Uwaga 2 4 36 2" xfId="39896"/>
    <cellStyle name="Uwaga 2 4 36 3" xfId="39897"/>
    <cellStyle name="Uwaga 2 4 37" xfId="39898"/>
    <cellStyle name="Uwaga 2 4 37 2" xfId="39899"/>
    <cellStyle name="Uwaga 2 4 37 3" xfId="39900"/>
    <cellStyle name="Uwaga 2 4 38" xfId="39901"/>
    <cellStyle name="Uwaga 2 4 38 2" xfId="39902"/>
    <cellStyle name="Uwaga 2 4 38 3" xfId="39903"/>
    <cellStyle name="Uwaga 2 4 39" xfId="39904"/>
    <cellStyle name="Uwaga 2 4 39 2" xfId="39905"/>
    <cellStyle name="Uwaga 2 4 39 3" xfId="39906"/>
    <cellStyle name="Uwaga 2 4 4" xfId="39907"/>
    <cellStyle name="Uwaga 2 4 4 2" xfId="39908"/>
    <cellStyle name="Uwaga 2 4 4 3" xfId="39909"/>
    <cellStyle name="Uwaga 2 4 4 4" xfId="39910"/>
    <cellStyle name="Uwaga 2 4 40" xfId="39911"/>
    <cellStyle name="Uwaga 2 4 40 2" xfId="39912"/>
    <cellStyle name="Uwaga 2 4 40 3" xfId="39913"/>
    <cellStyle name="Uwaga 2 4 41" xfId="39914"/>
    <cellStyle name="Uwaga 2 4 41 2" xfId="39915"/>
    <cellStyle name="Uwaga 2 4 41 3" xfId="39916"/>
    <cellStyle name="Uwaga 2 4 42" xfId="39917"/>
    <cellStyle name="Uwaga 2 4 42 2" xfId="39918"/>
    <cellStyle name="Uwaga 2 4 42 3" xfId="39919"/>
    <cellStyle name="Uwaga 2 4 43" xfId="39920"/>
    <cellStyle name="Uwaga 2 4 43 2" xfId="39921"/>
    <cellStyle name="Uwaga 2 4 43 3" xfId="39922"/>
    <cellStyle name="Uwaga 2 4 44" xfId="39923"/>
    <cellStyle name="Uwaga 2 4 44 2" xfId="39924"/>
    <cellStyle name="Uwaga 2 4 44 3" xfId="39925"/>
    <cellStyle name="Uwaga 2 4 45" xfId="39926"/>
    <cellStyle name="Uwaga 2 4 45 2" xfId="39927"/>
    <cellStyle name="Uwaga 2 4 45 3" xfId="39928"/>
    <cellStyle name="Uwaga 2 4 46" xfId="39929"/>
    <cellStyle name="Uwaga 2 4 46 2" xfId="39930"/>
    <cellStyle name="Uwaga 2 4 46 3" xfId="39931"/>
    <cellStyle name="Uwaga 2 4 47" xfId="39932"/>
    <cellStyle name="Uwaga 2 4 47 2" xfId="39933"/>
    <cellStyle name="Uwaga 2 4 47 3" xfId="39934"/>
    <cellStyle name="Uwaga 2 4 48" xfId="39935"/>
    <cellStyle name="Uwaga 2 4 48 2" xfId="39936"/>
    <cellStyle name="Uwaga 2 4 48 3" xfId="39937"/>
    <cellStyle name="Uwaga 2 4 49" xfId="39938"/>
    <cellStyle name="Uwaga 2 4 49 2" xfId="39939"/>
    <cellStyle name="Uwaga 2 4 49 3" xfId="39940"/>
    <cellStyle name="Uwaga 2 4 5" xfId="39941"/>
    <cellStyle name="Uwaga 2 4 5 2" xfId="39942"/>
    <cellStyle name="Uwaga 2 4 5 3" xfId="39943"/>
    <cellStyle name="Uwaga 2 4 5 4" xfId="39944"/>
    <cellStyle name="Uwaga 2 4 50" xfId="39945"/>
    <cellStyle name="Uwaga 2 4 50 2" xfId="39946"/>
    <cellStyle name="Uwaga 2 4 50 3" xfId="39947"/>
    <cellStyle name="Uwaga 2 4 51" xfId="39948"/>
    <cellStyle name="Uwaga 2 4 51 2" xfId="39949"/>
    <cellStyle name="Uwaga 2 4 51 3" xfId="39950"/>
    <cellStyle name="Uwaga 2 4 52" xfId="39951"/>
    <cellStyle name="Uwaga 2 4 52 2" xfId="39952"/>
    <cellStyle name="Uwaga 2 4 52 3" xfId="39953"/>
    <cellStyle name="Uwaga 2 4 53" xfId="39954"/>
    <cellStyle name="Uwaga 2 4 53 2" xfId="39955"/>
    <cellStyle name="Uwaga 2 4 53 3" xfId="39956"/>
    <cellStyle name="Uwaga 2 4 54" xfId="39957"/>
    <cellStyle name="Uwaga 2 4 54 2" xfId="39958"/>
    <cellStyle name="Uwaga 2 4 54 3" xfId="39959"/>
    <cellStyle name="Uwaga 2 4 55" xfId="39960"/>
    <cellStyle name="Uwaga 2 4 55 2" xfId="39961"/>
    <cellStyle name="Uwaga 2 4 55 3" xfId="39962"/>
    <cellStyle name="Uwaga 2 4 56" xfId="39963"/>
    <cellStyle name="Uwaga 2 4 56 2" xfId="39964"/>
    <cellStyle name="Uwaga 2 4 56 3" xfId="39965"/>
    <cellStyle name="Uwaga 2 4 57" xfId="39966"/>
    <cellStyle name="Uwaga 2 4 58" xfId="39967"/>
    <cellStyle name="Uwaga 2 4 59" xfId="39968"/>
    <cellStyle name="Uwaga 2 4 6" xfId="39969"/>
    <cellStyle name="Uwaga 2 4 6 2" xfId="39970"/>
    <cellStyle name="Uwaga 2 4 6 3" xfId="39971"/>
    <cellStyle name="Uwaga 2 4 6 4" xfId="39972"/>
    <cellStyle name="Uwaga 2 4 7" xfId="39973"/>
    <cellStyle name="Uwaga 2 4 7 2" xfId="39974"/>
    <cellStyle name="Uwaga 2 4 7 3" xfId="39975"/>
    <cellStyle name="Uwaga 2 4 7 4" xfId="39976"/>
    <cellStyle name="Uwaga 2 4 8" xfId="39977"/>
    <cellStyle name="Uwaga 2 4 8 2" xfId="39978"/>
    <cellStyle name="Uwaga 2 4 8 3" xfId="39979"/>
    <cellStyle name="Uwaga 2 4 8 4" xfId="39980"/>
    <cellStyle name="Uwaga 2 4 9" xfId="39981"/>
    <cellStyle name="Uwaga 2 4 9 2" xfId="39982"/>
    <cellStyle name="Uwaga 2 4 9 3" xfId="39983"/>
    <cellStyle name="Uwaga 2 4 9 4" xfId="39984"/>
    <cellStyle name="Uwaga 2 40" xfId="39985"/>
    <cellStyle name="Uwaga 2 40 2" xfId="39986"/>
    <cellStyle name="Uwaga 2 40 3" xfId="39987"/>
    <cellStyle name="Uwaga 2 40 4" xfId="39988"/>
    <cellStyle name="Uwaga 2 41" xfId="39989"/>
    <cellStyle name="Uwaga 2 41 2" xfId="39990"/>
    <cellStyle name="Uwaga 2 41 3" xfId="39991"/>
    <cellStyle name="Uwaga 2 41 4" xfId="39992"/>
    <cellStyle name="Uwaga 2 42" xfId="39993"/>
    <cellStyle name="Uwaga 2 42 2" xfId="39994"/>
    <cellStyle name="Uwaga 2 42 3" xfId="39995"/>
    <cellStyle name="Uwaga 2 42 4" xfId="39996"/>
    <cellStyle name="Uwaga 2 43" xfId="39997"/>
    <cellStyle name="Uwaga 2 43 2" xfId="39998"/>
    <cellStyle name="Uwaga 2 43 3" xfId="39999"/>
    <cellStyle name="Uwaga 2 43 4" xfId="40000"/>
    <cellStyle name="Uwaga 2 44" xfId="40001"/>
    <cellStyle name="Uwaga 2 44 2" xfId="40002"/>
    <cellStyle name="Uwaga 2 44 3" xfId="40003"/>
    <cellStyle name="Uwaga 2 44 4" xfId="40004"/>
    <cellStyle name="Uwaga 2 45" xfId="40005"/>
    <cellStyle name="Uwaga 2 45 2" xfId="40006"/>
    <cellStyle name="Uwaga 2 45 3" xfId="40007"/>
    <cellStyle name="Uwaga 2 45 4" xfId="40008"/>
    <cellStyle name="Uwaga 2 46" xfId="40009"/>
    <cellStyle name="Uwaga 2 46 2" xfId="40010"/>
    <cellStyle name="Uwaga 2 46 3" xfId="40011"/>
    <cellStyle name="Uwaga 2 46 4" xfId="40012"/>
    <cellStyle name="Uwaga 2 47" xfId="40013"/>
    <cellStyle name="Uwaga 2 47 2" xfId="40014"/>
    <cellStyle name="Uwaga 2 47 3" xfId="40015"/>
    <cellStyle name="Uwaga 2 47 4" xfId="40016"/>
    <cellStyle name="Uwaga 2 48" xfId="40017"/>
    <cellStyle name="Uwaga 2 48 2" xfId="40018"/>
    <cellStyle name="Uwaga 2 48 3" xfId="40019"/>
    <cellStyle name="Uwaga 2 48 4" xfId="40020"/>
    <cellStyle name="Uwaga 2 49" xfId="40021"/>
    <cellStyle name="Uwaga 2 49 2" xfId="40022"/>
    <cellStyle name="Uwaga 2 49 3" xfId="40023"/>
    <cellStyle name="Uwaga 2 49 4" xfId="40024"/>
    <cellStyle name="Uwaga 2 5" xfId="40025"/>
    <cellStyle name="Uwaga 2 5 10" xfId="40026"/>
    <cellStyle name="Uwaga 2 5 10 2" xfId="40027"/>
    <cellStyle name="Uwaga 2 5 10 3" xfId="40028"/>
    <cellStyle name="Uwaga 2 5 10 4" xfId="40029"/>
    <cellStyle name="Uwaga 2 5 11" xfId="40030"/>
    <cellStyle name="Uwaga 2 5 11 2" xfId="40031"/>
    <cellStyle name="Uwaga 2 5 11 3" xfId="40032"/>
    <cellStyle name="Uwaga 2 5 11 4" xfId="40033"/>
    <cellStyle name="Uwaga 2 5 12" xfId="40034"/>
    <cellStyle name="Uwaga 2 5 12 2" xfId="40035"/>
    <cellStyle name="Uwaga 2 5 12 3" xfId="40036"/>
    <cellStyle name="Uwaga 2 5 12 4" xfId="40037"/>
    <cellStyle name="Uwaga 2 5 13" xfId="40038"/>
    <cellStyle name="Uwaga 2 5 13 2" xfId="40039"/>
    <cellStyle name="Uwaga 2 5 13 3" xfId="40040"/>
    <cellStyle name="Uwaga 2 5 13 4" xfId="40041"/>
    <cellStyle name="Uwaga 2 5 14" xfId="40042"/>
    <cellStyle name="Uwaga 2 5 14 2" xfId="40043"/>
    <cellStyle name="Uwaga 2 5 14 3" xfId="40044"/>
    <cellStyle name="Uwaga 2 5 14 4" xfId="40045"/>
    <cellStyle name="Uwaga 2 5 15" xfId="40046"/>
    <cellStyle name="Uwaga 2 5 15 2" xfId="40047"/>
    <cellStyle name="Uwaga 2 5 15 3" xfId="40048"/>
    <cellStyle name="Uwaga 2 5 15 4" xfId="40049"/>
    <cellStyle name="Uwaga 2 5 16" xfId="40050"/>
    <cellStyle name="Uwaga 2 5 16 2" xfId="40051"/>
    <cellStyle name="Uwaga 2 5 16 3" xfId="40052"/>
    <cellStyle name="Uwaga 2 5 16 4" xfId="40053"/>
    <cellStyle name="Uwaga 2 5 17" xfId="40054"/>
    <cellStyle name="Uwaga 2 5 17 2" xfId="40055"/>
    <cellStyle name="Uwaga 2 5 17 3" xfId="40056"/>
    <cellStyle name="Uwaga 2 5 17 4" xfId="40057"/>
    <cellStyle name="Uwaga 2 5 18" xfId="40058"/>
    <cellStyle name="Uwaga 2 5 18 2" xfId="40059"/>
    <cellStyle name="Uwaga 2 5 18 3" xfId="40060"/>
    <cellStyle name="Uwaga 2 5 18 4" xfId="40061"/>
    <cellStyle name="Uwaga 2 5 19" xfId="40062"/>
    <cellStyle name="Uwaga 2 5 19 2" xfId="40063"/>
    <cellStyle name="Uwaga 2 5 19 3" xfId="40064"/>
    <cellStyle name="Uwaga 2 5 19 4" xfId="40065"/>
    <cellStyle name="Uwaga 2 5 2" xfId="40066"/>
    <cellStyle name="Uwaga 2 5 2 2" xfId="40067"/>
    <cellStyle name="Uwaga 2 5 2 3" xfId="40068"/>
    <cellStyle name="Uwaga 2 5 2 4" xfId="40069"/>
    <cellStyle name="Uwaga 2 5 20" xfId="40070"/>
    <cellStyle name="Uwaga 2 5 20 2" xfId="40071"/>
    <cellStyle name="Uwaga 2 5 20 3" xfId="40072"/>
    <cellStyle name="Uwaga 2 5 20 4" xfId="40073"/>
    <cellStyle name="Uwaga 2 5 21" xfId="40074"/>
    <cellStyle name="Uwaga 2 5 21 2" xfId="40075"/>
    <cellStyle name="Uwaga 2 5 21 3" xfId="40076"/>
    <cellStyle name="Uwaga 2 5 22" xfId="40077"/>
    <cellStyle name="Uwaga 2 5 22 2" xfId="40078"/>
    <cellStyle name="Uwaga 2 5 22 3" xfId="40079"/>
    <cellStyle name="Uwaga 2 5 23" xfId="40080"/>
    <cellStyle name="Uwaga 2 5 23 2" xfId="40081"/>
    <cellStyle name="Uwaga 2 5 23 3" xfId="40082"/>
    <cellStyle name="Uwaga 2 5 24" xfId="40083"/>
    <cellStyle name="Uwaga 2 5 24 2" xfId="40084"/>
    <cellStyle name="Uwaga 2 5 24 3" xfId="40085"/>
    <cellStyle name="Uwaga 2 5 25" xfId="40086"/>
    <cellStyle name="Uwaga 2 5 25 2" xfId="40087"/>
    <cellStyle name="Uwaga 2 5 25 3" xfId="40088"/>
    <cellStyle name="Uwaga 2 5 26" xfId="40089"/>
    <cellStyle name="Uwaga 2 5 26 2" xfId="40090"/>
    <cellStyle name="Uwaga 2 5 26 3" xfId="40091"/>
    <cellStyle name="Uwaga 2 5 27" xfId="40092"/>
    <cellStyle name="Uwaga 2 5 27 2" xfId="40093"/>
    <cellStyle name="Uwaga 2 5 27 3" xfId="40094"/>
    <cellStyle name="Uwaga 2 5 28" xfId="40095"/>
    <cellStyle name="Uwaga 2 5 28 2" xfId="40096"/>
    <cellStyle name="Uwaga 2 5 28 3" xfId="40097"/>
    <cellStyle name="Uwaga 2 5 29" xfId="40098"/>
    <cellStyle name="Uwaga 2 5 29 2" xfId="40099"/>
    <cellStyle name="Uwaga 2 5 29 3" xfId="40100"/>
    <cellStyle name="Uwaga 2 5 3" xfId="40101"/>
    <cellStyle name="Uwaga 2 5 3 2" xfId="40102"/>
    <cellStyle name="Uwaga 2 5 3 3" xfId="40103"/>
    <cellStyle name="Uwaga 2 5 3 4" xfId="40104"/>
    <cellStyle name="Uwaga 2 5 30" xfId="40105"/>
    <cellStyle name="Uwaga 2 5 30 2" xfId="40106"/>
    <cellStyle name="Uwaga 2 5 30 3" xfId="40107"/>
    <cellStyle name="Uwaga 2 5 31" xfId="40108"/>
    <cellStyle name="Uwaga 2 5 31 2" xfId="40109"/>
    <cellStyle name="Uwaga 2 5 31 3" xfId="40110"/>
    <cellStyle name="Uwaga 2 5 32" xfId="40111"/>
    <cellStyle name="Uwaga 2 5 32 2" xfId="40112"/>
    <cellStyle name="Uwaga 2 5 32 3" xfId="40113"/>
    <cellStyle name="Uwaga 2 5 33" xfId="40114"/>
    <cellStyle name="Uwaga 2 5 33 2" xfId="40115"/>
    <cellStyle name="Uwaga 2 5 33 3" xfId="40116"/>
    <cellStyle name="Uwaga 2 5 34" xfId="40117"/>
    <cellStyle name="Uwaga 2 5 34 2" xfId="40118"/>
    <cellStyle name="Uwaga 2 5 34 3" xfId="40119"/>
    <cellStyle name="Uwaga 2 5 35" xfId="40120"/>
    <cellStyle name="Uwaga 2 5 35 2" xfId="40121"/>
    <cellStyle name="Uwaga 2 5 35 3" xfId="40122"/>
    <cellStyle name="Uwaga 2 5 36" xfId="40123"/>
    <cellStyle name="Uwaga 2 5 36 2" xfId="40124"/>
    <cellStyle name="Uwaga 2 5 36 3" xfId="40125"/>
    <cellStyle name="Uwaga 2 5 37" xfId="40126"/>
    <cellStyle name="Uwaga 2 5 37 2" xfId="40127"/>
    <cellStyle name="Uwaga 2 5 37 3" xfId="40128"/>
    <cellStyle name="Uwaga 2 5 38" xfId="40129"/>
    <cellStyle name="Uwaga 2 5 38 2" xfId="40130"/>
    <cellStyle name="Uwaga 2 5 38 3" xfId="40131"/>
    <cellStyle name="Uwaga 2 5 39" xfId="40132"/>
    <cellStyle name="Uwaga 2 5 39 2" xfId="40133"/>
    <cellStyle name="Uwaga 2 5 39 3" xfId="40134"/>
    <cellStyle name="Uwaga 2 5 4" xfId="40135"/>
    <cellStyle name="Uwaga 2 5 4 2" xfId="40136"/>
    <cellStyle name="Uwaga 2 5 4 3" xfId="40137"/>
    <cellStyle name="Uwaga 2 5 4 4" xfId="40138"/>
    <cellStyle name="Uwaga 2 5 40" xfId="40139"/>
    <cellStyle name="Uwaga 2 5 40 2" xfId="40140"/>
    <cellStyle name="Uwaga 2 5 40 3" xfId="40141"/>
    <cellStyle name="Uwaga 2 5 41" xfId="40142"/>
    <cellStyle name="Uwaga 2 5 41 2" xfId="40143"/>
    <cellStyle name="Uwaga 2 5 41 3" xfId="40144"/>
    <cellStyle name="Uwaga 2 5 42" xfId="40145"/>
    <cellStyle name="Uwaga 2 5 42 2" xfId="40146"/>
    <cellStyle name="Uwaga 2 5 42 3" xfId="40147"/>
    <cellStyle name="Uwaga 2 5 43" xfId="40148"/>
    <cellStyle name="Uwaga 2 5 43 2" xfId="40149"/>
    <cellStyle name="Uwaga 2 5 43 3" xfId="40150"/>
    <cellStyle name="Uwaga 2 5 44" xfId="40151"/>
    <cellStyle name="Uwaga 2 5 44 2" xfId="40152"/>
    <cellStyle name="Uwaga 2 5 44 3" xfId="40153"/>
    <cellStyle name="Uwaga 2 5 45" xfId="40154"/>
    <cellStyle name="Uwaga 2 5 45 2" xfId="40155"/>
    <cellStyle name="Uwaga 2 5 45 3" xfId="40156"/>
    <cellStyle name="Uwaga 2 5 46" xfId="40157"/>
    <cellStyle name="Uwaga 2 5 46 2" xfId="40158"/>
    <cellStyle name="Uwaga 2 5 46 3" xfId="40159"/>
    <cellStyle name="Uwaga 2 5 47" xfId="40160"/>
    <cellStyle name="Uwaga 2 5 47 2" xfId="40161"/>
    <cellStyle name="Uwaga 2 5 47 3" xfId="40162"/>
    <cellStyle name="Uwaga 2 5 48" xfId="40163"/>
    <cellStyle name="Uwaga 2 5 48 2" xfId="40164"/>
    <cellStyle name="Uwaga 2 5 48 3" xfId="40165"/>
    <cellStyle name="Uwaga 2 5 49" xfId="40166"/>
    <cellStyle name="Uwaga 2 5 49 2" xfId="40167"/>
    <cellStyle name="Uwaga 2 5 49 3" xfId="40168"/>
    <cellStyle name="Uwaga 2 5 5" xfId="40169"/>
    <cellStyle name="Uwaga 2 5 5 2" xfId="40170"/>
    <cellStyle name="Uwaga 2 5 5 3" xfId="40171"/>
    <cellStyle name="Uwaga 2 5 5 4" xfId="40172"/>
    <cellStyle name="Uwaga 2 5 50" xfId="40173"/>
    <cellStyle name="Uwaga 2 5 50 2" xfId="40174"/>
    <cellStyle name="Uwaga 2 5 50 3" xfId="40175"/>
    <cellStyle name="Uwaga 2 5 51" xfId="40176"/>
    <cellStyle name="Uwaga 2 5 51 2" xfId="40177"/>
    <cellStyle name="Uwaga 2 5 51 3" xfId="40178"/>
    <cellStyle name="Uwaga 2 5 52" xfId="40179"/>
    <cellStyle name="Uwaga 2 5 52 2" xfId="40180"/>
    <cellStyle name="Uwaga 2 5 52 3" xfId="40181"/>
    <cellStyle name="Uwaga 2 5 53" xfId="40182"/>
    <cellStyle name="Uwaga 2 5 53 2" xfId="40183"/>
    <cellStyle name="Uwaga 2 5 53 3" xfId="40184"/>
    <cellStyle name="Uwaga 2 5 54" xfId="40185"/>
    <cellStyle name="Uwaga 2 5 54 2" xfId="40186"/>
    <cellStyle name="Uwaga 2 5 54 3" xfId="40187"/>
    <cellStyle name="Uwaga 2 5 55" xfId="40188"/>
    <cellStyle name="Uwaga 2 5 55 2" xfId="40189"/>
    <cellStyle name="Uwaga 2 5 55 3" xfId="40190"/>
    <cellStyle name="Uwaga 2 5 56" xfId="40191"/>
    <cellStyle name="Uwaga 2 5 56 2" xfId="40192"/>
    <cellStyle name="Uwaga 2 5 56 3" xfId="40193"/>
    <cellStyle name="Uwaga 2 5 57" xfId="40194"/>
    <cellStyle name="Uwaga 2 5 58" xfId="40195"/>
    <cellStyle name="Uwaga 2 5 6" xfId="40196"/>
    <cellStyle name="Uwaga 2 5 6 2" xfId="40197"/>
    <cellStyle name="Uwaga 2 5 6 3" xfId="40198"/>
    <cellStyle name="Uwaga 2 5 6 4" xfId="40199"/>
    <cellStyle name="Uwaga 2 5 7" xfId="40200"/>
    <cellStyle name="Uwaga 2 5 7 2" xfId="40201"/>
    <cellStyle name="Uwaga 2 5 7 3" xfId="40202"/>
    <cellStyle name="Uwaga 2 5 7 4" xfId="40203"/>
    <cellStyle name="Uwaga 2 5 8" xfId="40204"/>
    <cellStyle name="Uwaga 2 5 8 2" xfId="40205"/>
    <cellStyle name="Uwaga 2 5 8 3" xfId="40206"/>
    <cellStyle name="Uwaga 2 5 8 4" xfId="40207"/>
    <cellStyle name="Uwaga 2 5 9" xfId="40208"/>
    <cellStyle name="Uwaga 2 5 9 2" xfId="40209"/>
    <cellStyle name="Uwaga 2 5 9 3" xfId="40210"/>
    <cellStyle name="Uwaga 2 5 9 4" xfId="40211"/>
    <cellStyle name="Uwaga 2 50" xfId="40212"/>
    <cellStyle name="Uwaga 2 50 2" xfId="40213"/>
    <cellStyle name="Uwaga 2 50 3" xfId="40214"/>
    <cellStyle name="Uwaga 2 50 4" xfId="40215"/>
    <cellStyle name="Uwaga 2 51" xfId="40216"/>
    <cellStyle name="Uwaga 2 51 2" xfId="40217"/>
    <cellStyle name="Uwaga 2 51 3" xfId="40218"/>
    <cellStyle name="Uwaga 2 51 4" xfId="40219"/>
    <cellStyle name="Uwaga 2 52" xfId="40220"/>
    <cellStyle name="Uwaga 2 52 2" xfId="40221"/>
    <cellStyle name="Uwaga 2 52 3" xfId="40222"/>
    <cellStyle name="Uwaga 2 52 4" xfId="40223"/>
    <cellStyle name="Uwaga 2 53" xfId="40224"/>
    <cellStyle name="Uwaga 2 53 2" xfId="40225"/>
    <cellStyle name="Uwaga 2 53 3" xfId="40226"/>
    <cellStyle name="Uwaga 2 53 4" xfId="40227"/>
    <cellStyle name="Uwaga 2 54" xfId="40228"/>
    <cellStyle name="Uwaga 2 54 2" xfId="40229"/>
    <cellStyle name="Uwaga 2 54 3" xfId="40230"/>
    <cellStyle name="Uwaga 2 54 4" xfId="40231"/>
    <cellStyle name="Uwaga 2 55" xfId="40232"/>
    <cellStyle name="Uwaga 2 55 2" xfId="40233"/>
    <cellStyle name="Uwaga 2 55 3" xfId="40234"/>
    <cellStyle name="Uwaga 2 55 4" xfId="40235"/>
    <cellStyle name="Uwaga 2 56" xfId="40236"/>
    <cellStyle name="Uwaga 2 56 2" xfId="40237"/>
    <cellStyle name="Uwaga 2 56 3" xfId="40238"/>
    <cellStyle name="Uwaga 2 56 4" xfId="40239"/>
    <cellStyle name="Uwaga 2 57" xfId="40240"/>
    <cellStyle name="Uwaga 2 57 2" xfId="40241"/>
    <cellStyle name="Uwaga 2 57 3" xfId="40242"/>
    <cellStyle name="Uwaga 2 57 4" xfId="40243"/>
    <cellStyle name="Uwaga 2 58" xfId="40244"/>
    <cellStyle name="Uwaga 2 58 2" xfId="40245"/>
    <cellStyle name="Uwaga 2 58 3" xfId="40246"/>
    <cellStyle name="Uwaga 2 58 4" xfId="40247"/>
    <cellStyle name="Uwaga 2 59" xfId="40248"/>
    <cellStyle name="Uwaga 2 59 2" xfId="40249"/>
    <cellStyle name="Uwaga 2 59 3" xfId="40250"/>
    <cellStyle name="Uwaga 2 59 4" xfId="40251"/>
    <cellStyle name="Uwaga 2 6" xfId="40252"/>
    <cellStyle name="Uwaga 2 6 10" xfId="40253"/>
    <cellStyle name="Uwaga 2 6 10 2" xfId="40254"/>
    <cellStyle name="Uwaga 2 6 10 3" xfId="40255"/>
    <cellStyle name="Uwaga 2 6 10 4" xfId="40256"/>
    <cellStyle name="Uwaga 2 6 11" xfId="40257"/>
    <cellStyle name="Uwaga 2 6 11 2" xfId="40258"/>
    <cellStyle name="Uwaga 2 6 11 3" xfId="40259"/>
    <cellStyle name="Uwaga 2 6 11 4" xfId="40260"/>
    <cellStyle name="Uwaga 2 6 12" xfId="40261"/>
    <cellStyle name="Uwaga 2 6 12 2" xfId="40262"/>
    <cellStyle name="Uwaga 2 6 12 3" xfId="40263"/>
    <cellStyle name="Uwaga 2 6 12 4" xfId="40264"/>
    <cellStyle name="Uwaga 2 6 13" xfId="40265"/>
    <cellStyle name="Uwaga 2 6 13 2" xfId="40266"/>
    <cellStyle name="Uwaga 2 6 13 3" xfId="40267"/>
    <cellStyle name="Uwaga 2 6 13 4" xfId="40268"/>
    <cellStyle name="Uwaga 2 6 14" xfId="40269"/>
    <cellStyle name="Uwaga 2 6 14 2" xfId="40270"/>
    <cellStyle name="Uwaga 2 6 14 3" xfId="40271"/>
    <cellStyle name="Uwaga 2 6 14 4" xfId="40272"/>
    <cellStyle name="Uwaga 2 6 15" xfId="40273"/>
    <cellStyle name="Uwaga 2 6 15 2" xfId="40274"/>
    <cellStyle name="Uwaga 2 6 15 3" xfId="40275"/>
    <cellStyle name="Uwaga 2 6 15 4" xfId="40276"/>
    <cellStyle name="Uwaga 2 6 16" xfId="40277"/>
    <cellStyle name="Uwaga 2 6 16 2" xfId="40278"/>
    <cellStyle name="Uwaga 2 6 16 3" xfId="40279"/>
    <cellStyle name="Uwaga 2 6 16 4" xfId="40280"/>
    <cellStyle name="Uwaga 2 6 17" xfId="40281"/>
    <cellStyle name="Uwaga 2 6 17 2" xfId="40282"/>
    <cellStyle name="Uwaga 2 6 17 3" xfId="40283"/>
    <cellStyle name="Uwaga 2 6 17 4" xfId="40284"/>
    <cellStyle name="Uwaga 2 6 18" xfId="40285"/>
    <cellStyle name="Uwaga 2 6 18 2" xfId="40286"/>
    <cellStyle name="Uwaga 2 6 18 3" xfId="40287"/>
    <cellStyle name="Uwaga 2 6 18 4" xfId="40288"/>
    <cellStyle name="Uwaga 2 6 19" xfId="40289"/>
    <cellStyle name="Uwaga 2 6 19 2" xfId="40290"/>
    <cellStyle name="Uwaga 2 6 19 3" xfId="40291"/>
    <cellStyle name="Uwaga 2 6 19 4" xfId="40292"/>
    <cellStyle name="Uwaga 2 6 2" xfId="40293"/>
    <cellStyle name="Uwaga 2 6 2 2" xfId="40294"/>
    <cellStyle name="Uwaga 2 6 2 3" xfId="40295"/>
    <cellStyle name="Uwaga 2 6 2 4" xfId="40296"/>
    <cellStyle name="Uwaga 2 6 20" xfId="40297"/>
    <cellStyle name="Uwaga 2 6 20 2" xfId="40298"/>
    <cellStyle name="Uwaga 2 6 20 3" xfId="40299"/>
    <cellStyle name="Uwaga 2 6 20 4" xfId="40300"/>
    <cellStyle name="Uwaga 2 6 21" xfId="40301"/>
    <cellStyle name="Uwaga 2 6 21 2" xfId="40302"/>
    <cellStyle name="Uwaga 2 6 21 3" xfId="40303"/>
    <cellStyle name="Uwaga 2 6 22" xfId="40304"/>
    <cellStyle name="Uwaga 2 6 22 2" xfId="40305"/>
    <cellStyle name="Uwaga 2 6 22 3" xfId="40306"/>
    <cellStyle name="Uwaga 2 6 23" xfId="40307"/>
    <cellStyle name="Uwaga 2 6 23 2" xfId="40308"/>
    <cellStyle name="Uwaga 2 6 23 3" xfId="40309"/>
    <cellStyle name="Uwaga 2 6 24" xfId="40310"/>
    <cellStyle name="Uwaga 2 6 24 2" xfId="40311"/>
    <cellStyle name="Uwaga 2 6 24 3" xfId="40312"/>
    <cellStyle name="Uwaga 2 6 25" xfId="40313"/>
    <cellStyle name="Uwaga 2 6 25 2" xfId="40314"/>
    <cellStyle name="Uwaga 2 6 25 3" xfId="40315"/>
    <cellStyle name="Uwaga 2 6 26" xfId="40316"/>
    <cellStyle name="Uwaga 2 6 26 2" xfId="40317"/>
    <cellStyle name="Uwaga 2 6 26 3" xfId="40318"/>
    <cellStyle name="Uwaga 2 6 27" xfId="40319"/>
    <cellStyle name="Uwaga 2 6 27 2" xfId="40320"/>
    <cellStyle name="Uwaga 2 6 27 3" xfId="40321"/>
    <cellStyle name="Uwaga 2 6 28" xfId="40322"/>
    <cellStyle name="Uwaga 2 6 28 2" xfId="40323"/>
    <cellStyle name="Uwaga 2 6 28 3" xfId="40324"/>
    <cellStyle name="Uwaga 2 6 29" xfId="40325"/>
    <cellStyle name="Uwaga 2 6 29 2" xfId="40326"/>
    <cellStyle name="Uwaga 2 6 29 3" xfId="40327"/>
    <cellStyle name="Uwaga 2 6 3" xfId="40328"/>
    <cellStyle name="Uwaga 2 6 3 2" xfId="40329"/>
    <cellStyle name="Uwaga 2 6 3 3" xfId="40330"/>
    <cellStyle name="Uwaga 2 6 3 4" xfId="40331"/>
    <cellStyle name="Uwaga 2 6 30" xfId="40332"/>
    <cellStyle name="Uwaga 2 6 30 2" xfId="40333"/>
    <cellStyle name="Uwaga 2 6 30 3" xfId="40334"/>
    <cellStyle name="Uwaga 2 6 31" xfId="40335"/>
    <cellStyle name="Uwaga 2 6 31 2" xfId="40336"/>
    <cellStyle name="Uwaga 2 6 31 3" xfId="40337"/>
    <cellStyle name="Uwaga 2 6 32" xfId="40338"/>
    <cellStyle name="Uwaga 2 6 32 2" xfId="40339"/>
    <cellStyle name="Uwaga 2 6 32 3" xfId="40340"/>
    <cellStyle name="Uwaga 2 6 33" xfId="40341"/>
    <cellStyle name="Uwaga 2 6 33 2" xfId="40342"/>
    <cellStyle name="Uwaga 2 6 33 3" xfId="40343"/>
    <cellStyle name="Uwaga 2 6 34" xfId="40344"/>
    <cellStyle name="Uwaga 2 6 34 2" xfId="40345"/>
    <cellStyle name="Uwaga 2 6 34 3" xfId="40346"/>
    <cellStyle name="Uwaga 2 6 35" xfId="40347"/>
    <cellStyle name="Uwaga 2 6 35 2" xfId="40348"/>
    <cellStyle name="Uwaga 2 6 35 3" xfId="40349"/>
    <cellStyle name="Uwaga 2 6 36" xfId="40350"/>
    <cellStyle name="Uwaga 2 6 36 2" xfId="40351"/>
    <cellStyle name="Uwaga 2 6 36 3" xfId="40352"/>
    <cellStyle name="Uwaga 2 6 37" xfId="40353"/>
    <cellStyle name="Uwaga 2 6 37 2" xfId="40354"/>
    <cellStyle name="Uwaga 2 6 37 3" xfId="40355"/>
    <cellStyle name="Uwaga 2 6 38" xfId="40356"/>
    <cellStyle name="Uwaga 2 6 38 2" xfId="40357"/>
    <cellStyle name="Uwaga 2 6 38 3" xfId="40358"/>
    <cellStyle name="Uwaga 2 6 39" xfId="40359"/>
    <cellStyle name="Uwaga 2 6 39 2" xfId="40360"/>
    <cellStyle name="Uwaga 2 6 39 3" xfId="40361"/>
    <cellStyle name="Uwaga 2 6 4" xfId="40362"/>
    <cellStyle name="Uwaga 2 6 4 2" xfId="40363"/>
    <cellStyle name="Uwaga 2 6 4 3" xfId="40364"/>
    <cellStyle name="Uwaga 2 6 4 4" xfId="40365"/>
    <cellStyle name="Uwaga 2 6 40" xfId="40366"/>
    <cellStyle name="Uwaga 2 6 40 2" xfId="40367"/>
    <cellStyle name="Uwaga 2 6 40 3" xfId="40368"/>
    <cellStyle name="Uwaga 2 6 41" xfId="40369"/>
    <cellStyle name="Uwaga 2 6 41 2" xfId="40370"/>
    <cellStyle name="Uwaga 2 6 41 3" xfId="40371"/>
    <cellStyle name="Uwaga 2 6 42" xfId="40372"/>
    <cellStyle name="Uwaga 2 6 42 2" xfId="40373"/>
    <cellStyle name="Uwaga 2 6 42 3" xfId="40374"/>
    <cellStyle name="Uwaga 2 6 43" xfId="40375"/>
    <cellStyle name="Uwaga 2 6 43 2" xfId="40376"/>
    <cellStyle name="Uwaga 2 6 43 3" xfId="40377"/>
    <cellStyle name="Uwaga 2 6 44" xfId="40378"/>
    <cellStyle name="Uwaga 2 6 44 2" xfId="40379"/>
    <cellStyle name="Uwaga 2 6 44 3" xfId="40380"/>
    <cellStyle name="Uwaga 2 6 45" xfId="40381"/>
    <cellStyle name="Uwaga 2 6 45 2" xfId="40382"/>
    <cellStyle name="Uwaga 2 6 45 3" xfId="40383"/>
    <cellStyle name="Uwaga 2 6 46" xfId="40384"/>
    <cellStyle name="Uwaga 2 6 46 2" xfId="40385"/>
    <cellStyle name="Uwaga 2 6 46 3" xfId="40386"/>
    <cellStyle name="Uwaga 2 6 47" xfId="40387"/>
    <cellStyle name="Uwaga 2 6 47 2" xfId="40388"/>
    <cellStyle name="Uwaga 2 6 47 3" xfId="40389"/>
    <cellStyle name="Uwaga 2 6 48" xfId="40390"/>
    <cellStyle name="Uwaga 2 6 48 2" xfId="40391"/>
    <cellStyle name="Uwaga 2 6 48 3" xfId="40392"/>
    <cellStyle name="Uwaga 2 6 49" xfId="40393"/>
    <cellStyle name="Uwaga 2 6 49 2" xfId="40394"/>
    <cellStyle name="Uwaga 2 6 49 3" xfId="40395"/>
    <cellStyle name="Uwaga 2 6 5" xfId="40396"/>
    <cellStyle name="Uwaga 2 6 5 2" xfId="40397"/>
    <cellStyle name="Uwaga 2 6 5 3" xfId="40398"/>
    <cellStyle name="Uwaga 2 6 5 4" xfId="40399"/>
    <cellStyle name="Uwaga 2 6 50" xfId="40400"/>
    <cellStyle name="Uwaga 2 6 50 2" xfId="40401"/>
    <cellStyle name="Uwaga 2 6 50 3" xfId="40402"/>
    <cellStyle name="Uwaga 2 6 51" xfId="40403"/>
    <cellStyle name="Uwaga 2 6 51 2" xfId="40404"/>
    <cellStyle name="Uwaga 2 6 51 3" xfId="40405"/>
    <cellStyle name="Uwaga 2 6 52" xfId="40406"/>
    <cellStyle name="Uwaga 2 6 52 2" xfId="40407"/>
    <cellStyle name="Uwaga 2 6 52 3" xfId="40408"/>
    <cellStyle name="Uwaga 2 6 53" xfId="40409"/>
    <cellStyle name="Uwaga 2 6 53 2" xfId="40410"/>
    <cellStyle name="Uwaga 2 6 53 3" xfId="40411"/>
    <cellStyle name="Uwaga 2 6 54" xfId="40412"/>
    <cellStyle name="Uwaga 2 6 54 2" xfId="40413"/>
    <cellStyle name="Uwaga 2 6 54 3" xfId="40414"/>
    <cellStyle name="Uwaga 2 6 55" xfId="40415"/>
    <cellStyle name="Uwaga 2 6 55 2" xfId="40416"/>
    <cellStyle name="Uwaga 2 6 55 3" xfId="40417"/>
    <cellStyle name="Uwaga 2 6 56" xfId="40418"/>
    <cellStyle name="Uwaga 2 6 56 2" xfId="40419"/>
    <cellStyle name="Uwaga 2 6 56 3" xfId="40420"/>
    <cellStyle name="Uwaga 2 6 57" xfId="40421"/>
    <cellStyle name="Uwaga 2 6 58" xfId="40422"/>
    <cellStyle name="Uwaga 2 6 6" xfId="40423"/>
    <cellStyle name="Uwaga 2 6 6 2" xfId="40424"/>
    <cellStyle name="Uwaga 2 6 6 3" xfId="40425"/>
    <cellStyle name="Uwaga 2 6 6 4" xfId="40426"/>
    <cellStyle name="Uwaga 2 6 7" xfId="40427"/>
    <cellStyle name="Uwaga 2 6 7 2" xfId="40428"/>
    <cellStyle name="Uwaga 2 6 7 3" xfId="40429"/>
    <cellStyle name="Uwaga 2 6 7 4" xfId="40430"/>
    <cellStyle name="Uwaga 2 6 8" xfId="40431"/>
    <cellStyle name="Uwaga 2 6 8 2" xfId="40432"/>
    <cellStyle name="Uwaga 2 6 8 3" xfId="40433"/>
    <cellStyle name="Uwaga 2 6 8 4" xfId="40434"/>
    <cellStyle name="Uwaga 2 6 9" xfId="40435"/>
    <cellStyle name="Uwaga 2 6 9 2" xfId="40436"/>
    <cellStyle name="Uwaga 2 6 9 3" xfId="40437"/>
    <cellStyle name="Uwaga 2 6 9 4" xfId="40438"/>
    <cellStyle name="Uwaga 2 60" xfId="40439"/>
    <cellStyle name="Uwaga 2 60 2" xfId="40440"/>
    <cellStyle name="Uwaga 2 60 3" xfId="40441"/>
    <cellStyle name="Uwaga 2 60 4" xfId="40442"/>
    <cellStyle name="Uwaga 2 61" xfId="40443"/>
    <cellStyle name="Uwaga 2 61 2" xfId="40444"/>
    <cellStyle name="Uwaga 2 61 3" xfId="40445"/>
    <cellStyle name="Uwaga 2 61 4" xfId="40446"/>
    <cellStyle name="Uwaga 2 62" xfId="40447"/>
    <cellStyle name="Uwaga 2 62 2" xfId="40448"/>
    <cellStyle name="Uwaga 2 62 3" xfId="40449"/>
    <cellStyle name="Uwaga 2 62 4" xfId="40450"/>
    <cellStyle name="Uwaga 2 63" xfId="40451"/>
    <cellStyle name="Uwaga 2 63 2" xfId="40452"/>
    <cellStyle name="Uwaga 2 63 3" xfId="40453"/>
    <cellStyle name="Uwaga 2 63 4" xfId="40454"/>
    <cellStyle name="Uwaga 2 64" xfId="40455"/>
    <cellStyle name="Uwaga 2 64 2" xfId="40456"/>
    <cellStyle name="Uwaga 2 64 3" xfId="40457"/>
    <cellStyle name="Uwaga 2 64 4" xfId="40458"/>
    <cellStyle name="Uwaga 2 65" xfId="40459"/>
    <cellStyle name="Uwaga 2 65 2" xfId="40460"/>
    <cellStyle name="Uwaga 2 65 3" xfId="40461"/>
    <cellStyle name="Uwaga 2 65 4" xfId="40462"/>
    <cellStyle name="Uwaga 2 66" xfId="40463"/>
    <cellStyle name="Uwaga 2 66 2" xfId="40464"/>
    <cellStyle name="Uwaga 2 66 3" xfId="40465"/>
    <cellStyle name="Uwaga 2 66 4" xfId="40466"/>
    <cellStyle name="Uwaga 2 67" xfId="40467"/>
    <cellStyle name="Uwaga 2 67 2" xfId="40468"/>
    <cellStyle name="Uwaga 2 67 3" xfId="40469"/>
    <cellStyle name="Uwaga 2 67 4" xfId="40470"/>
    <cellStyle name="Uwaga 2 68" xfId="40471"/>
    <cellStyle name="Uwaga 2 68 2" xfId="40472"/>
    <cellStyle name="Uwaga 2 68 3" xfId="40473"/>
    <cellStyle name="Uwaga 2 68 4" xfId="40474"/>
    <cellStyle name="Uwaga 2 69" xfId="40475"/>
    <cellStyle name="Uwaga 2 69 2" xfId="40476"/>
    <cellStyle name="Uwaga 2 69 3" xfId="40477"/>
    <cellStyle name="Uwaga 2 69 4" xfId="40478"/>
    <cellStyle name="Uwaga 2 7" xfId="40479"/>
    <cellStyle name="Uwaga 2 7 10" xfId="40480"/>
    <cellStyle name="Uwaga 2 7 10 2" xfId="40481"/>
    <cellStyle name="Uwaga 2 7 10 3" xfId="40482"/>
    <cellStyle name="Uwaga 2 7 10 4" xfId="40483"/>
    <cellStyle name="Uwaga 2 7 11" xfId="40484"/>
    <cellStyle name="Uwaga 2 7 11 2" xfId="40485"/>
    <cellStyle name="Uwaga 2 7 11 3" xfId="40486"/>
    <cellStyle name="Uwaga 2 7 11 4" xfId="40487"/>
    <cellStyle name="Uwaga 2 7 12" xfId="40488"/>
    <cellStyle name="Uwaga 2 7 12 2" xfId="40489"/>
    <cellStyle name="Uwaga 2 7 12 3" xfId="40490"/>
    <cellStyle name="Uwaga 2 7 12 4" xfId="40491"/>
    <cellStyle name="Uwaga 2 7 13" xfId="40492"/>
    <cellStyle name="Uwaga 2 7 13 2" xfId="40493"/>
    <cellStyle name="Uwaga 2 7 13 3" xfId="40494"/>
    <cellStyle name="Uwaga 2 7 13 4" xfId="40495"/>
    <cellStyle name="Uwaga 2 7 14" xfId="40496"/>
    <cellStyle name="Uwaga 2 7 14 2" xfId="40497"/>
    <cellStyle name="Uwaga 2 7 14 3" xfId="40498"/>
    <cellStyle name="Uwaga 2 7 14 4" xfId="40499"/>
    <cellStyle name="Uwaga 2 7 15" xfId="40500"/>
    <cellStyle name="Uwaga 2 7 15 2" xfId="40501"/>
    <cellStyle name="Uwaga 2 7 15 3" xfId="40502"/>
    <cellStyle name="Uwaga 2 7 15 4" xfId="40503"/>
    <cellStyle name="Uwaga 2 7 16" xfId="40504"/>
    <cellStyle name="Uwaga 2 7 16 2" xfId="40505"/>
    <cellStyle name="Uwaga 2 7 16 3" xfId="40506"/>
    <cellStyle name="Uwaga 2 7 16 4" xfId="40507"/>
    <cellStyle name="Uwaga 2 7 17" xfId="40508"/>
    <cellStyle name="Uwaga 2 7 17 2" xfId="40509"/>
    <cellStyle name="Uwaga 2 7 17 3" xfId="40510"/>
    <cellStyle name="Uwaga 2 7 17 4" xfId="40511"/>
    <cellStyle name="Uwaga 2 7 18" xfId="40512"/>
    <cellStyle name="Uwaga 2 7 18 2" xfId="40513"/>
    <cellStyle name="Uwaga 2 7 18 3" xfId="40514"/>
    <cellStyle name="Uwaga 2 7 18 4" xfId="40515"/>
    <cellStyle name="Uwaga 2 7 19" xfId="40516"/>
    <cellStyle name="Uwaga 2 7 19 2" xfId="40517"/>
    <cellStyle name="Uwaga 2 7 19 3" xfId="40518"/>
    <cellStyle name="Uwaga 2 7 19 4" xfId="40519"/>
    <cellStyle name="Uwaga 2 7 2" xfId="40520"/>
    <cellStyle name="Uwaga 2 7 2 2" xfId="40521"/>
    <cellStyle name="Uwaga 2 7 2 3" xfId="40522"/>
    <cellStyle name="Uwaga 2 7 2 4" xfId="40523"/>
    <cellStyle name="Uwaga 2 7 20" xfId="40524"/>
    <cellStyle name="Uwaga 2 7 20 2" xfId="40525"/>
    <cellStyle name="Uwaga 2 7 20 3" xfId="40526"/>
    <cellStyle name="Uwaga 2 7 20 4" xfId="40527"/>
    <cellStyle name="Uwaga 2 7 21" xfId="40528"/>
    <cellStyle name="Uwaga 2 7 21 2" xfId="40529"/>
    <cellStyle name="Uwaga 2 7 21 3" xfId="40530"/>
    <cellStyle name="Uwaga 2 7 22" xfId="40531"/>
    <cellStyle name="Uwaga 2 7 22 2" xfId="40532"/>
    <cellStyle name="Uwaga 2 7 22 3" xfId="40533"/>
    <cellStyle name="Uwaga 2 7 23" xfId="40534"/>
    <cellStyle name="Uwaga 2 7 23 2" xfId="40535"/>
    <cellStyle name="Uwaga 2 7 23 3" xfId="40536"/>
    <cellStyle name="Uwaga 2 7 24" xfId="40537"/>
    <cellStyle name="Uwaga 2 7 24 2" xfId="40538"/>
    <cellStyle name="Uwaga 2 7 24 3" xfId="40539"/>
    <cellStyle name="Uwaga 2 7 25" xfId="40540"/>
    <cellStyle name="Uwaga 2 7 25 2" xfId="40541"/>
    <cellStyle name="Uwaga 2 7 25 3" xfId="40542"/>
    <cellStyle name="Uwaga 2 7 26" xfId="40543"/>
    <cellStyle name="Uwaga 2 7 26 2" xfId="40544"/>
    <cellStyle name="Uwaga 2 7 26 3" xfId="40545"/>
    <cellStyle name="Uwaga 2 7 27" xfId="40546"/>
    <cellStyle name="Uwaga 2 7 27 2" xfId="40547"/>
    <cellStyle name="Uwaga 2 7 27 3" xfId="40548"/>
    <cellStyle name="Uwaga 2 7 28" xfId="40549"/>
    <cellStyle name="Uwaga 2 7 28 2" xfId="40550"/>
    <cellStyle name="Uwaga 2 7 28 3" xfId="40551"/>
    <cellStyle name="Uwaga 2 7 29" xfId="40552"/>
    <cellStyle name="Uwaga 2 7 29 2" xfId="40553"/>
    <cellStyle name="Uwaga 2 7 29 3" xfId="40554"/>
    <cellStyle name="Uwaga 2 7 3" xfId="40555"/>
    <cellStyle name="Uwaga 2 7 3 2" xfId="40556"/>
    <cellStyle name="Uwaga 2 7 3 3" xfId="40557"/>
    <cellStyle name="Uwaga 2 7 3 4" xfId="40558"/>
    <cellStyle name="Uwaga 2 7 30" xfId="40559"/>
    <cellStyle name="Uwaga 2 7 30 2" xfId="40560"/>
    <cellStyle name="Uwaga 2 7 30 3" xfId="40561"/>
    <cellStyle name="Uwaga 2 7 31" xfId="40562"/>
    <cellStyle name="Uwaga 2 7 31 2" xfId="40563"/>
    <cellStyle name="Uwaga 2 7 31 3" xfId="40564"/>
    <cellStyle name="Uwaga 2 7 32" xfId="40565"/>
    <cellStyle name="Uwaga 2 7 32 2" xfId="40566"/>
    <cellStyle name="Uwaga 2 7 32 3" xfId="40567"/>
    <cellStyle name="Uwaga 2 7 33" xfId="40568"/>
    <cellStyle name="Uwaga 2 7 33 2" xfId="40569"/>
    <cellStyle name="Uwaga 2 7 33 3" xfId="40570"/>
    <cellStyle name="Uwaga 2 7 34" xfId="40571"/>
    <cellStyle name="Uwaga 2 7 34 2" xfId="40572"/>
    <cellStyle name="Uwaga 2 7 34 3" xfId="40573"/>
    <cellStyle name="Uwaga 2 7 35" xfId="40574"/>
    <cellStyle name="Uwaga 2 7 35 2" xfId="40575"/>
    <cellStyle name="Uwaga 2 7 35 3" xfId="40576"/>
    <cellStyle name="Uwaga 2 7 36" xfId="40577"/>
    <cellStyle name="Uwaga 2 7 36 2" xfId="40578"/>
    <cellStyle name="Uwaga 2 7 36 3" xfId="40579"/>
    <cellStyle name="Uwaga 2 7 37" xfId="40580"/>
    <cellStyle name="Uwaga 2 7 37 2" xfId="40581"/>
    <cellStyle name="Uwaga 2 7 37 3" xfId="40582"/>
    <cellStyle name="Uwaga 2 7 38" xfId="40583"/>
    <cellStyle name="Uwaga 2 7 38 2" xfId="40584"/>
    <cellStyle name="Uwaga 2 7 38 3" xfId="40585"/>
    <cellStyle name="Uwaga 2 7 39" xfId="40586"/>
    <cellStyle name="Uwaga 2 7 39 2" xfId="40587"/>
    <cellStyle name="Uwaga 2 7 39 3" xfId="40588"/>
    <cellStyle name="Uwaga 2 7 4" xfId="40589"/>
    <cellStyle name="Uwaga 2 7 4 2" xfId="40590"/>
    <cellStyle name="Uwaga 2 7 4 3" xfId="40591"/>
    <cellStyle name="Uwaga 2 7 4 4" xfId="40592"/>
    <cellStyle name="Uwaga 2 7 40" xfId="40593"/>
    <cellStyle name="Uwaga 2 7 40 2" xfId="40594"/>
    <cellStyle name="Uwaga 2 7 40 3" xfId="40595"/>
    <cellStyle name="Uwaga 2 7 41" xfId="40596"/>
    <cellStyle name="Uwaga 2 7 41 2" xfId="40597"/>
    <cellStyle name="Uwaga 2 7 41 3" xfId="40598"/>
    <cellStyle name="Uwaga 2 7 42" xfId="40599"/>
    <cellStyle name="Uwaga 2 7 42 2" xfId="40600"/>
    <cellStyle name="Uwaga 2 7 42 3" xfId="40601"/>
    <cellStyle name="Uwaga 2 7 43" xfId="40602"/>
    <cellStyle name="Uwaga 2 7 43 2" xfId="40603"/>
    <cellStyle name="Uwaga 2 7 43 3" xfId="40604"/>
    <cellStyle name="Uwaga 2 7 44" xfId="40605"/>
    <cellStyle name="Uwaga 2 7 44 2" xfId="40606"/>
    <cellStyle name="Uwaga 2 7 44 3" xfId="40607"/>
    <cellStyle name="Uwaga 2 7 45" xfId="40608"/>
    <cellStyle name="Uwaga 2 7 45 2" xfId="40609"/>
    <cellStyle name="Uwaga 2 7 45 3" xfId="40610"/>
    <cellStyle name="Uwaga 2 7 46" xfId="40611"/>
    <cellStyle name="Uwaga 2 7 46 2" xfId="40612"/>
    <cellStyle name="Uwaga 2 7 46 3" xfId="40613"/>
    <cellStyle name="Uwaga 2 7 47" xfId="40614"/>
    <cellStyle name="Uwaga 2 7 47 2" xfId="40615"/>
    <cellStyle name="Uwaga 2 7 47 3" xfId="40616"/>
    <cellStyle name="Uwaga 2 7 48" xfId="40617"/>
    <cellStyle name="Uwaga 2 7 48 2" xfId="40618"/>
    <cellStyle name="Uwaga 2 7 48 3" xfId="40619"/>
    <cellStyle name="Uwaga 2 7 49" xfId="40620"/>
    <cellStyle name="Uwaga 2 7 49 2" xfId="40621"/>
    <cellStyle name="Uwaga 2 7 49 3" xfId="40622"/>
    <cellStyle name="Uwaga 2 7 5" xfId="40623"/>
    <cellStyle name="Uwaga 2 7 5 2" xfId="40624"/>
    <cellStyle name="Uwaga 2 7 5 3" xfId="40625"/>
    <cellStyle name="Uwaga 2 7 5 4" xfId="40626"/>
    <cellStyle name="Uwaga 2 7 50" xfId="40627"/>
    <cellStyle name="Uwaga 2 7 50 2" xfId="40628"/>
    <cellStyle name="Uwaga 2 7 50 3" xfId="40629"/>
    <cellStyle name="Uwaga 2 7 51" xfId="40630"/>
    <cellStyle name="Uwaga 2 7 51 2" xfId="40631"/>
    <cellStyle name="Uwaga 2 7 51 3" xfId="40632"/>
    <cellStyle name="Uwaga 2 7 52" xfId="40633"/>
    <cellStyle name="Uwaga 2 7 52 2" xfId="40634"/>
    <cellStyle name="Uwaga 2 7 52 3" xfId="40635"/>
    <cellStyle name="Uwaga 2 7 53" xfId="40636"/>
    <cellStyle name="Uwaga 2 7 53 2" xfId="40637"/>
    <cellStyle name="Uwaga 2 7 53 3" xfId="40638"/>
    <cellStyle name="Uwaga 2 7 54" xfId="40639"/>
    <cellStyle name="Uwaga 2 7 54 2" xfId="40640"/>
    <cellStyle name="Uwaga 2 7 54 3" xfId="40641"/>
    <cellStyle name="Uwaga 2 7 55" xfId="40642"/>
    <cellStyle name="Uwaga 2 7 55 2" xfId="40643"/>
    <cellStyle name="Uwaga 2 7 55 3" xfId="40644"/>
    <cellStyle name="Uwaga 2 7 56" xfId="40645"/>
    <cellStyle name="Uwaga 2 7 56 2" xfId="40646"/>
    <cellStyle name="Uwaga 2 7 56 3" xfId="40647"/>
    <cellStyle name="Uwaga 2 7 57" xfId="40648"/>
    <cellStyle name="Uwaga 2 7 58" xfId="40649"/>
    <cellStyle name="Uwaga 2 7 6" xfId="40650"/>
    <cellStyle name="Uwaga 2 7 6 2" xfId="40651"/>
    <cellStyle name="Uwaga 2 7 6 3" xfId="40652"/>
    <cellStyle name="Uwaga 2 7 6 4" xfId="40653"/>
    <cellStyle name="Uwaga 2 7 7" xfId="40654"/>
    <cellStyle name="Uwaga 2 7 7 2" xfId="40655"/>
    <cellStyle name="Uwaga 2 7 7 3" xfId="40656"/>
    <cellStyle name="Uwaga 2 7 7 4" xfId="40657"/>
    <cellStyle name="Uwaga 2 7 8" xfId="40658"/>
    <cellStyle name="Uwaga 2 7 8 2" xfId="40659"/>
    <cellStyle name="Uwaga 2 7 8 3" xfId="40660"/>
    <cellStyle name="Uwaga 2 7 8 4" xfId="40661"/>
    <cellStyle name="Uwaga 2 7 9" xfId="40662"/>
    <cellStyle name="Uwaga 2 7 9 2" xfId="40663"/>
    <cellStyle name="Uwaga 2 7 9 3" xfId="40664"/>
    <cellStyle name="Uwaga 2 7 9 4" xfId="40665"/>
    <cellStyle name="Uwaga 2 70" xfId="40666"/>
    <cellStyle name="Uwaga 2 70 2" xfId="40667"/>
    <cellStyle name="Uwaga 2 70 3" xfId="40668"/>
    <cellStyle name="Uwaga 2 71" xfId="40669"/>
    <cellStyle name="Uwaga 2 71 2" xfId="40670"/>
    <cellStyle name="Uwaga 2 71 3" xfId="40671"/>
    <cellStyle name="Uwaga 2 72" xfId="40672"/>
    <cellStyle name="Uwaga 2 72 2" xfId="40673"/>
    <cellStyle name="Uwaga 2 72 3" xfId="40674"/>
    <cellStyle name="Uwaga 2 73" xfId="40675"/>
    <cellStyle name="Uwaga 2 73 2" xfId="40676"/>
    <cellStyle name="Uwaga 2 73 3" xfId="40677"/>
    <cellStyle name="Uwaga 2 74" xfId="40678"/>
    <cellStyle name="Uwaga 2 74 2" xfId="40679"/>
    <cellStyle name="Uwaga 2 74 3" xfId="40680"/>
    <cellStyle name="Uwaga 2 75" xfId="40681"/>
    <cellStyle name="Uwaga 2 75 2" xfId="40682"/>
    <cellStyle name="Uwaga 2 75 3" xfId="40683"/>
    <cellStyle name="Uwaga 2 76" xfId="40684"/>
    <cellStyle name="Uwaga 2 76 2" xfId="40685"/>
    <cellStyle name="Uwaga 2 76 3" xfId="40686"/>
    <cellStyle name="Uwaga 2 77" xfId="40687"/>
    <cellStyle name="Uwaga 2 77 2" xfId="40688"/>
    <cellStyle name="Uwaga 2 77 3" xfId="40689"/>
    <cellStyle name="Uwaga 2 78" xfId="40690"/>
    <cellStyle name="Uwaga 2 78 2" xfId="40691"/>
    <cellStyle name="Uwaga 2 78 3" xfId="40692"/>
    <cellStyle name="Uwaga 2 79" xfId="40693"/>
    <cellStyle name="Uwaga 2 79 2" xfId="40694"/>
    <cellStyle name="Uwaga 2 79 3" xfId="40695"/>
    <cellStyle name="Uwaga 2 8" xfId="40696"/>
    <cellStyle name="Uwaga 2 8 10" xfId="40697"/>
    <cellStyle name="Uwaga 2 8 10 2" xfId="40698"/>
    <cellStyle name="Uwaga 2 8 10 3" xfId="40699"/>
    <cellStyle name="Uwaga 2 8 10 4" xfId="40700"/>
    <cellStyle name="Uwaga 2 8 11" xfId="40701"/>
    <cellStyle name="Uwaga 2 8 11 2" xfId="40702"/>
    <cellStyle name="Uwaga 2 8 11 3" xfId="40703"/>
    <cellStyle name="Uwaga 2 8 11 4" xfId="40704"/>
    <cellStyle name="Uwaga 2 8 12" xfId="40705"/>
    <cellStyle name="Uwaga 2 8 12 2" xfId="40706"/>
    <cellStyle name="Uwaga 2 8 12 3" xfId="40707"/>
    <cellStyle name="Uwaga 2 8 12 4" xfId="40708"/>
    <cellStyle name="Uwaga 2 8 13" xfId="40709"/>
    <cellStyle name="Uwaga 2 8 13 2" xfId="40710"/>
    <cellStyle name="Uwaga 2 8 13 3" xfId="40711"/>
    <cellStyle name="Uwaga 2 8 13 4" xfId="40712"/>
    <cellStyle name="Uwaga 2 8 14" xfId="40713"/>
    <cellStyle name="Uwaga 2 8 14 2" xfId="40714"/>
    <cellStyle name="Uwaga 2 8 14 3" xfId="40715"/>
    <cellStyle name="Uwaga 2 8 14 4" xfId="40716"/>
    <cellStyle name="Uwaga 2 8 15" xfId="40717"/>
    <cellStyle name="Uwaga 2 8 15 2" xfId="40718"/>
    <cellStyle name="Uwaga 2 8 15 3" xfId="40719"/>
    <cellStyle name="Uwaga 2 8 15 4" xfId="40720"/>
    <cellStyle name="Uwaga 2 8 16" xfId="40721"/>
    <cellStyle name="Uwaga 2 8 16 2" xfId="40722"/>
    <cellStyle name="Uwaga 2 8 16 3" xfId="40723"/>
    <cellStyle name="Uwaga 2 8 16 4" xfId="40724"/>
    <cellStyle name="Uwaga 2 8 17" xfId="40725"/>
    <cellStyle name="Uwaga 2 8 17 2" xfId="40726"/>
    <cellStyle name="Uwaga 2 8 17 3" xfId="40727"/>
    <cellStyle name="Uwaga 2 8 17 4" xfId="40728"/>
    <cellStyle name="Uwaga 2 8 18" xfId="40729"/>
    <cellStyle name="Uwaga 2 8 18 2" xfId="40730"/>
    <cellStyle name="Uwaga 2 8 18 3" xfId="40731"/>
    <cellStyle name="Uwaga 2 8 18 4" xfId="40732"/>
    <cellStyle name="Uwaga 2 8 19" xfId="40733"/>
    <cellStyle name="Uwaga 2 8 19 2" xfId="40734"/>
    <cellStyle name="Uwaga 2 8 19 3" xfId="40735"/>
    <cellStyle name="Uwaga 2 8 19 4" xfId="40736"/>
    <cellStyle name="Uwaga 2 8 2" xfId="40737"/>
    <cellStyle name="Uwaga 2 8 2 2" xfId="40738"/>
    <cellStyle name="Uwaga 2 8 2 3" xfId="40739"/>
    <cellStyle name="Uwaga 2 8 2 4" xfId="40740"/>
    <cellStyle name="Uwaga 2 8 20" xfId="40741"/>
    <cellStyle name="Uwaga 2 8 20 2" xfId="40742"/>
    <cellStyle name="Uwaga 2 8 20 3" xfId="40743"/>
    <cellStyle name="Uwaga 2 8 20 4" xfId="40744"/>
    <cellStyle name="Uwaga 2 8 21" xfId="40745"/>
    <cellStyle name="Uwaga 2 8 21 2" xfId="40746"/>
    <cellStyle name="Uwaga 2 8 21 3" xfId="40747"/>
    <cellStyle name="Uwaga 2 8 22" xfId="40748"/>
    <cellStyle name="Uwaga 2 8 22 2" xfId="40749"/>
    <cellStyle name="Uwaga 2 8 22 3" xfId="40750"/>
    <cellStyle name="Uwaga 2 8 23" xfId="40751"/>
    <cellStyle name="Uwaga 2 8 23 2" xfId="40752"/>
    <cellStyle name="Uwaga 2 8 23 3" xfId="40753"/>
    <cellStyle name="Uwaga 2 8 24" xfId="40754"/>
    <cellStyle name="Uwaga 2 8 24 2" xfId="40755"/>
    <cellStyle name="Uwaga 2 8 24 3" xfId="40756"/>
    <cellStyle name="Uwaga 2 8 25" xfId="40757"/>
    <cellStyle name="Uwaga 2 8 25 2" xfId="40758"/>
    <cellStyle name="Uwaga 2 8 25 3" xfId="40759"/>
    <cellStyle name="Uwaga 2 8 26" xfId="40760"/>
    <cellStyle name="Uwaga 2 8 26 2" xfId="40761"/>
    <cellStyle name="Uwaga 2 8 26 3" xfId="40762"/>
    <cellStyle name="Uwaga 2 8 27" xfId="40763"/>
    <cellStyle name="Uwaga 2 8 27 2" xfId="40764"/>
    <cellStyle name="Uwaga 2 8 27 3" xfId="40765"/>
    <cellStyle name="Uwaga 2 8 28" xfId="40766"/>
    <cellStyle name="Uwaga 2 8 28 2" xfId="40767"/>
    <cellStyle name="Uwaga 2 8 28 3" xfId="40768"/>
    <cellStyle name="Uwaga 2 8 29" xfId="40769"/>
    <cellStyle name="Uwaga 2 8 29 2" xfId="40770"/>
    <cellStyle name="Uwaga 2 8 29 3" xfId="40771"/>
    <cellStyle name="Uwaga 2 8 3" xfId="40772"/>
    <cellStyle name="Uwaga 2 8 3 2" xfId="40773"/>
    <cellStyle name="Uwaga 2 8 3 3" xfId="40774"/>
    <cellStyle name="Uwaga 2 8 3 4" xfId="40775"/>
    <cellStyle name="Uwaga 2 8 30" xfId="40776"/>
    <cellStyle name="Uwaga 2 8 30 2" xfId="40777"/>
    <cellStyle name="Uwaga 2 8 30 3" xfId="40778"/>
    <cellStyle name="Uwaga 2 8 31" xfId="40779"/>
    <cellStyle name="Uwaga 2 8 31 2" xfId="40780"/>
    <cellStyle name="Uwaga 2 8 31 3" xfId="40781"/>
    <cellStyle name="Uwaga 2 8 32" xfId="40782"/>
    <cellStyle name="Uwaga 2 8 32 2" xfId="40783"/>
    <cellStyle name="Uwaga 2 8 32 3" xfId="40784"/>
    <cellStyle name="Uwaga 2 8 33" xfId="40785"/>
    <cellStyle name="Uwaga 2 8 33 2" xfId="40786"/>
    <cellStyle name="Uwaga 2 8 33 3" xfId="40787"/>
    <cellStyle name="Uwaga 2 8 34" xfId="40788"/>
    <cellStyle name="Uwaga 2 8 34 2" xfId="40789"/>
    <cellStyle name="Uwaga 2 8 34 3" xfId="40790"/>
    <cellStyle name="Uwaga 2 8 35" xfId="40791"/>
    <cellStyle name="Uwaga 2 8 35 2" xfId="40792"/>
    <cellStyle name="Uwaga 2 8 35 3" xfId="40793"/>
    <cellStyle name="Uwaga 2 8 36" xfId="40794"/>
    <cellStyle name="Uwaga 2 8 36 2" xfId="40795"/>
    <cellStyle name="Uwaga 2 8 36 3" xfId="40796"/>
    <cellStyle name="Uwaga 2 8 37" xfId="40797"/>
    <cellStyle name="Uwaga 2 8 37 2" xfId="40798"/>
    <cellStyle name="Uwaga 2 8 37 3" xfId="40799"/>
    <cellStyle name="Uwaga 2 8 38" xfId="40800"/>
    <cellStyle name="Uwaga 2 8 38 2" xfId="40801"/>
    <cellStyle name="Uwaga 2 8 38 3" xfId="40802"/>
    <cellStyle name="Uwaga 2 8 39" xfId="40803"/>
    <cellStyle name="Uwaga 2 8 39 2" xfId="40804"/>
    <cellStyle name="Uwaga 2 8 39 3" xfId="40805"/>
    <cellStyle name="Uwaga 2 8 4" xfId="40806"/>
    <cellStyle name="Uwaga 2 8 4 2" xfId="40807"/>
    <cellStyle name="Uwaga 2 8 4 3" xfId="40808"/>
    <cellStyle name="Uwaga 2 8 4 4" xfId="40809"/>
    <cellStyle name="Uwaga 2 8 40" xfId="40810"/>
    <cellStyle name="Uwaga 2 8 40 2" xfId="40811"/>
    <cellStyle name="Uwaga 2 8 40 3" xfId="40812"/>
    <cellStyle name="Uwaga 2 8 41" xfId="40813"/>
    <cellStyle name="Uwaga 2 8 41 2" xfId="40814"/>
    <cellStyle name="Uwaga 2 8 41 3" xfId="40815"/>
    <cellStyle name="Uwaga 2 8 42" xfId="40816"/>
    <cellStyle name="Uwaga 2 8 42 2" xfId="40817"/>
    <cellStyle name="Uwaga 2 8 42 3" xfId="40818"/>
    <cellStyle name="Uwaga 2 8 43" xfId="40819"/>
    <cellStyle name="Uwaga 2 8 43 2" xfId="40820"/>
    <cellStyle name="Uwaga 2 8 43 3" xfId="40821"/>
    <cellStyle name="Uwaga 2 8 44" xfId="40822"/>
    <cellStyle name="Uwaga 2 8 44 2" xfId="40823"/>
    <cellStyle name="Uwaga 2 8 44 3" xfId="40824"/>
    <cellStyle name="Uwaga 2 8 45" xfId="40825"/>
    <cellStyle name="Uwaga 2 8 45 2" xfId="40826"/>
    <cellStyle name="Uwaga 2 8 45 3" xfId="40827"/>
    <cellStyle name="Uwaga 2 8 46" xfId="40828"/>
    <cellStyle name="Uwaga 2 8 46 2" xfId="40829"/>
    <cellStyle name="Uwaga 2 8 46 3" xfId="40830"/>
    <cellStyle name="Uwaga 2 8 47" xfId="40831"/>
    <cellStyle name="Uwaga 2 8 47 2" xfId="40832"/>
    <cellStyle name="Uwaga 2 8 47 3" xfId="40833"/>
    <cellStyle name="Uwaga 2 8 48" xfId="40834"/>
    <cellStyle name="Uwaga 2 8 48 2" xfId="40835"/>
    <cellStyle name="Uwaga 2 8 48 3" xfId="40836"/>
    <cellStyle name="Uwaga 2 8 49" xfId="40837"/>
    <cellStyle name="Uwaga 2 8 49 2" xfId="40838"/>
    <cellStyle name="Uwaga 2 8 49 3" xfId="40839"/>
    <cellStyle name="Uwaga 2 8 5" xfId="40840"/>
    <cellStyle name="Uwaga 2 8 5 2" xfId="40841"/>
    <cellStyle name="Uwaga 2 8 5 3" xfId="40842"/>
    <cellStyle name="Uwaga 2 8 5 4" xfId="40843"/>
    <cellStyle name="Uwaga 2 8 50" xfId="40844"/>
    <cellStyle name="Uwaga 2 8 50 2" xfId="40845"/>
    <cellStyle name="Uwaga 2 8 50 3" xfId="40846"/>
    <cellStyle name="Uwaga 2 8 51" xfId="40847"/>
    <cellStyle name="Uwaga 2 8 51 2" xfId="40848"/>
    <cellStyle name="Uwaga 2 8 51 3" xfId="40849"/>
    <cellStyle name="Uwaga 2 8 52" xfId="40850"/>
    <cellStyle name="Uwaga 2 8 52 2" xfId="40851"/>
    <cellStyle name="Uwaga 2 8 52 3" xfId="40852"/>
    <cellStyle name="Uwaga 2 8 53" xfId="40853"/>
    <cellStyle name="Uwaga 2 8 53 2" xfId="40854"/>
    <cellStyle name="Uwaga 2 8 53 3" xfId="40855"/>
    <cellStyle name="Uwaga 2 8 54" xfId="40856"/>
    <cellStyle name="Uwaga 2 8 54 2" xfId="40857"/>
    <cellStyle name="Uwaga 2 8 54 3" xfId="40858"/>
    <cellStyle name="Uwaga 2 8 55" xfId="40859"/>
    <cellStyle name="Uwaga 2 8 55 2" xfId="40860"/>
    <cellStyle name="Uwaga 2 8 55 3" xfId="40861"/>
    <cellStyle name="Uwaga 2 8 56" xfId="40862"/>
    <cellStyle name="Uwaga 2 8 56 2" xfId="40863"/>
    <cellStyle name="Uwaga 2 8 56 3" xfId="40864"/>
    <cellStyle name="Uwaga 2 8 57" xfId="40865"/>
    <cellStyle name="Uwaga 2 8 58" xfId="40866"/>
    <cellStyle name="Uwaga 2 8 6" xfId="40867"/>
    <cellStyle name="Uwaga 2 8 6 2" xfId="40868"/>
    <cellStyle name="Uwaga 2 8 6 3" xfId="40869"/>
    <cellStyle name="Uwaga 2 8 6 4" xfId="40870"/>
    <cellStyle name="Uwaga 2 8 7" xfId="40871"/>
    <cellStyle name="Uwaga 2 8 7 2" xfId="40872"/>
    <cellStyle name="Uwaga 2 8 7 3" xfId="40873"/>
    <cellStyle name="Uwaga 2 8 7 4" xfId="40874"/>
    <cellStyle name="Uwaga 2 8 8" xfId="40875"/>
    <cellStyle name="Uwaga 2 8 8 2" xfId="40876"/>
    <cellStyle name="Uwaga 2 8 8 3" xfId="40877"/>
    <cellStyle name="Uwaga 2 8 8 4" xfId="40878"/>
    <cellStyle name="Uwaga 2 8 9" xfId="40879"/>
    <cellStyle name="Uwaga 2 8 9 2" xfId="40880"/>
    <cellStyle name="Uwaga 2 8 9 3" xfId="40881"/>
    <cellStyle name="Uwaga 2 8 9 4" xfId="40882"/>
    <cellStyle name="Uwaga 2 80" xfId="40883"/>
    <cellStyle name="Uwaga 2 80 2" xfId="40884"/>
    <cellStyle name="Uwaga 2 80 3" xfId="40885"/>
    <cellStyle name="Uwaga 2 81" xfId="40886"/>
    <cellStyle name="Uwaga 2 81 2" xfId="40887"/>
    <cellStyle name="Uwaga 2 81 3" xfId="40888"/>
    <cellStyle name="Uwaga 2 82" xfId="40889"/>
    <cellStyle name="Uwaga 2 82 2" xfId="40890"/>
    <cellStyle name="Uwaga 2 82 3" xfId="40891"/>
    <cellStyle name="Uwaga 2 83" xfId="40892"/>
    <cellStyle name="Uwaga 2 83 2" xfId="40893"/>
    <cellStyle name="Uwaga 2 83 3" xfId="40894"/>
    <cellStyle name="Uwaga 2 84" xfId="40895"/>
    <cellStyle name="Uwaga 2 84 2" xfId="40896"/>
    <cellStyle name="Uwaga 2 84 3" xfId="40897"/>
    <cellStyle name="Uwaga 2 85" xfId="40898"/>
    <cellStyle name="Uwaga 2 85 2" xfId="40899"/>
    <cellStyle name="Uwaga 2 85 3" xfId="40900"/>
    <cellStyle name="Uwaga 2 86" xfId="40901"/>
    <cellStyle name="Uwaga 2 86 2" xfId="40902"/>
    <cellStyle name="Uwaga 2 86 3" xfId="40903"/>
    <cellStyle name="Uwaga 2 87" xfId="40904"/>
    <cellStyle name="Uwaga 2 87 2" xfId="40905"/>
    <cellStyle name="Uwaga 2 87 3" xfId="40906"/>
    <cellStyle name="Uwaga 2 88" xfId="40907"/>
    <cellStyle name="Uwaga 2 88 2" xfId="40908"/>
    <cellStyle name="Uwaga 2 88 3" xfId="40909"/>
    <cellStyle name="Uwaga 2 89" xfId="40910"/>
    <cellStyle name="Uwaga 2 89 2" xfId="40911"/>
    <cellStyle name="Uwaga 2 89 3" xfId="40912"/>
    <cellStyle name="Uwaga 2 9" xfId="40913"/>
    <cellStyle name="Uwaga 2 9 10" xfId="40914"/>
    <cellStyle name="Uwaga 2 9 10 2" xfId="40915"/>
    <cellStyle name="Uwaga 2 9 10 3" xfId="40916"/>
    <cellStyle name="Uwaga 2 9 10 4" xfId="40917"/>
    <cellStyle name="Uwaga 2 9 11" xfId="40918"/>
    <cellStyle name="Uwaga 2 9 11 2" xfId="40919"/>
    <cellStyle name="Uwaga 2 9 11 3" xfId="40920"/>
    <cellStyle name="Uwaga 2 9 11 4" xfId="40921"/>
    <cellStyle name="Uwaga 2 9 12" xfId="40922"/>
    <cellStyle name="Uwaga 2 9 12 2" xfId="40923"/>
    <cellStyle name="Uwaga 2 9 12 3" xfId="40924"/>
    <cellStyle name="Uwaga 2 9 12 4" xfId="40925"/>
    <cellStyle name="Uwaga 2 9 13" xfId="40926"/>
    <cellStyle name="Uwaga 2 9 13 2" xfId="40927"/>
    <cellStyle name="Uwaga 2 9 13 3" xfId="40928"/>
    <cellStyle name="Uwaga 2 9 13 4" xfId="40929"/>
    <cellStyle name="Uwaga 2 9 14" xfId="40930"/>
    <cellStyle name="Uwaga 2 9 14 2" xfId="40931"/>
    <cellStyle name="Uwaga 2 9 14 3" xfId="40932"/>
    <cellStyle name="Uwaga 2 9 14 4" xfId="40933"/>
    <cellStyle name="Uwaga 2 9 15" xfId="40934"/>
    <cellStyle name="Uwaga 2 9 15 2" xfId="40935"/>
    <cellStyle name="Uwaga 2 9 15 3" xfId="40936"/>
    <cellStyle name="Uwaga 2 9 15 4" xfId="40937"/>
    <cellStyle name="Uwaga 2 9 16" xfId="40938"/>
    <cellStyle name="Uwaga 2 9 16 2" xfId="40939"/>
    <cellStyle name="Uwaga 2 9 16 3" xfId="40940"/>
    <cellStyle name="Uwaga 2 9 16 4" xfId="40941"/>
    <cellStyle name="Uwaga 2 9 17" xfId="40942"/>
    <cellStyle name="Uwaga 2 9 17 2" xfId="40943"/>
    <cellStyle name="Uwaga 2 9 17 3" xfId="40944"/>
    <cellStyle name="Uwaga 2 9 17 4" xfId="40945"/>
    <cellStyle name="Uwaga 2 9 18" xfId="40946"/>
    <cellStyle name="Uwaga 2 9 18 2" xfId="40947"/>
    <cellStyle name="Uwaga 2 9 18 3" xfId="40948"/>
    <cellStyle name="Uwaga 2 9 18 4" xfId="40949"/>
    <cellStyle name="Uwaga 2 9 19" xfId="40950"/>
    <cellStyle name="Uwaga 2 9 19 2" xfId="40951"/>
    <cellStyle name="Uwaga 2 9 19 3" xfId="40952"/>
    <cellStyle name="Uwaga 2 9 19 4" xfId="40953"/>
    <cellStyle name="Uwaga 2 9 2" xfId="40954"/>
    <cellStyle name="Uwaga 2 9 2 2" xfId="40955"/>
    <cellStyle name="Uwaga 2 9 2 3" xfId="40956"/>
    <cellStyle name="Uwaga 2 9 2 4" xfId="40957"/>
    <cellStyle name="Uwaga 2 9 20" xfId="40958"/>
    <cellStyle name="Uwaga 2 9 20 2" xfId="40959"/>
    <cellStyle name="Uwaga 2 9 20 3" xfId="40960"/>
    <cellStyle name="Uwaga 2 9 20 4" xfId="40961"/>
    <cellStyle name="Uwaga 2 9 21" xfId="40962"/>
    <cellStyle name="Uwaga 2 9 21 2" xfId="40963"/>
    <cellStyle name="Uwaga 2 9 21 3" xfId="40964"/>
    <cellStyle name="Uwaga 2 9 22" xfId="40965"/>
    <cellStyle name="Uwaga 2 9 22 2" xfId="40966"/>
    <cellStyle name="Uwaga 2 9 22 3" xfId="40967"/>
    <cellStyle name="Uwaga 2 9 23" xfId="40968"/>
    <cellStyle name="Uwaga 2 9 23 2" xfId="40969"/>
    <cellStyle name="Uwaga 2 9 23 3" xfId="40970"/>
    <cellStyle name="Uwaga 2 9 24" xfId="40971"/>
    <cellStyle name="Uwaga 2 9 24 2" xfId="40972"/>
    <cellStyle name="Uwaga 2 9 24 3" xfId="40973"/>
    <cellStyle name="Uwaga 2 9 25" xfId="40974"/>
    <cellStyle name="Uwaga 2 9 25 2" xfId="40975"/>
    <cellStyle name="Uwaga 2 9 25 3" xfId="40976"/>
    <cellStyle name="Uwaga 2 9 26" xfId="40977"/>
    <cellStyle name="Uwaga 2 9 26 2" xfId="40978"/>
    <cellStyle name="Uwaga 2 9 26 3" xfId="40979"/>
    <cellStyle name="Uwaga 2 9 27" xfId="40980"/>
    <cellStyle name="Uwaga 2 9 27 2" xfId="40981"/>
    <cellStyle name="Uwaga 2 9 27 3" xfId="40982"/>
    <cellStyle name="Uwaga 2 9 28" xfId="40983"/>
    <cellStyle name="Uwaga 2 9 28 2" xfId="40984"/>
    <cellStyle name="Uwaga 2 9 28 3" xfId="40985"/>
    <cellStyle name="Uwaga 2 9 29" xfId="40986"/>
    <cellStyle name="Uwaga 2 9 29 2" xfId="40987"/>
    <cellStyle name="Uwaga 2 9 29 3" xfId="40988"/>
    <cellStyle name="Uwaga 2 9 3" xfId="40989"/>
    <cellStyle name="Uwaga 2 9 3 2" xfId="40990"/>
    <cellStyle name="Uwaga 2 9 3 3" xfId="40991"/>
    <cellStyle name="Uwaga 2 9 3 4" xfId="40992"/>
    <cellStyle name="Uwaga 2 9 30" xfId="40993"/>
    <cellStyle name="Uwaga 2 9 30 2" xfId="40994"/>
    <cellStyle name="Uwaga 2 9 30 3" xfId="40995"/>
    <cellStyle name="Uwaga 2 9 31" xfId="40996"/>
    <cellStyle name="Uwaga 2 9 31 2" xfId="40997"/>
    <cellStyle name="Uwaga 2 9 31 3" xfId="40998"/>
    <cellStyle name="Uwaga 2 9 32" xfId="40999"/>
    <cellStyle name="Uwaga 2 9 32 2" xfId="41000"/>
    <cellStyle name="Uwaga 2 9 32 3" xfId="41001"/>
    <cellStyle name="Uwaga 2 9 33" xfId="41002"/>
    <cellStyle name="Uwaga 2 9 33 2" xfId="41003"/>
    <cellStyle name="Uwaga 2 9 33 3" xfId="41004"/>
    <cellStyle name="Uwaga 2 9 34" xfId="41005"/>
    <cellStyle name="Uwaga 2 9 34 2" xfId="41006"/>
    <cellStyle name="Uwaga 2 9 34 3" xfId="41007"/>
    <cellStyle name="Uwaga 2 9 35" xfId="41008"/>
    <cellStyle name="Uwaga 2 9 35 2" xfId="41009"/>
    <cellStyle name="Uwaga 2 9 35 3" xfId="41010"/>
    <cellStyle name="Uwaga 2 9 36" xfId="41011"/>
    <cellStyle name="Uwaga 2 9 36 2" xfId="41012"/>
    <cellStyle name="Uwaga 2 9 36 3" xfId="41013"/>
    <cellStyle name="Uwaga 2 9 37" xfId="41014"/>
    <cellStyle name="Uwaga 2 9 37 2" xfId="41015"/>
    <cellStyle name="Uwaga 2 9 37 3" xfId="41016"/>
    <cellStyle name="Uwaga 2 9 38" xfId="41017"/>
    <cellStyle name="Uwaga 2 9 38 2" xfId="41018"/>
    <cellStyle name="Uwaga 2 9 38 3" xfId="41019"/>
    <cellStyle name="Uwaga 2 9 39" xfId="41020"/>
    <cellStyle name="Uwaga 2 9 39 2" xfId="41021"/>
    <cellStyle name="Uwaga 2 9 39 3" xfId="41022"/>
    <cellStyle name="Uwaga 2 9 4" xfId="41023"/>
    <cellStyle name="Uwaga 2 9 4 2" xfId="41024"/>
    <cellStyle name="Uwaga 2 9 4 3" xfId="41025"/>
    <cellStyle name="Uwaga 2 9 4 4" xfId="41026"/>
    <cellStyle name="Uwaga 2 9 40" xfId="41027"/>
    <cellStyle name="Uwaga 2 9 40 2" xfId="41028"/>
    <cellStyle name="Uwaga 2 9 40 3" xfId="41029"/>
    <cellStyle name="Uwaga 2 9 41" xfId="41030"/>
    <cellStyle name="Uwaga 2 9 41 2" xfId="41031"/>
    <cellStyle name="Uwaga 2 9 41 3" xfId="41032"/>
    <cellStyle name="Uwaga 2 9 42" xfId="41033"/>
    <cellStyle name="Uwaga 2 9 42 2" xfId="41034"/>
    <cellStyle name="Uwaga 2 9 42 3" xfId="41035"/>
    <cellStyle name="Uwaga 2 9 43" xfId="41036"/>
    <cellStyle name="Uwaga 2 9 43 2" xfId="41037"/>
    <cellStyle name="Uwaga 2 9 43 3" xfId="41038"/>
    <cellStyle name="Uwaga 2 9 44" xfId="41039"/>
    <cellStyle name="Uwaga 2 9 44 2" xfId="41040"/>
    <cellStyle name="Uwaga 2 9 44 3" xfId="41041"/>
    <cellStyle name="Uwaga 2 9 45" xfId="41042"/>
    <cellStyle name="Uwaga 2 9 45 2" xfId="41043"/>
    <cellStyle name="Uwaga 2 9 45 3" xfId="41044"/>
    <cellStyle name="Uwaga 2 9 46" xfId="41045"/>
    <cellStyle name="Uwaga 2 9 46 2" xfId="41046"/>
    <cellStyle name="Uwaga 2 9 46 3" xfId="41047"/>
    <cellStyle name="Uwaga 2 9 47" xfId="41048"/>
    <cellStyle name="Uwaga 2 9 47 2" xfId="41049"/>
    <cellStyle name="Uwaga 2 9 47 3" xfId="41050"/>
    <cellStyle name="Uwaga 2 9 48" xfId="41051"/>
    <cellStyle name="Uwaga 2 9 48 2" xfId="41052"/>
    <cellStyle name="Uwaga 2 9 48 3" xfId="41053"/>
    <cellStyle name="Uwaga 2 9 49" xfId="41054"/>
    <cellStyle name="Uwaga 2 9 49 2" xfId="41055"/>
    <cellStyle name="Uwaga 2 9 49 3" xfId="41056"/>
    <cellStyle name="Uwaga 2 9 5" xfId="41057"/>
    <cellStyle name="Uwaga 2 9 5 2" xfId="41058"/>
    <cellStyle name="Uwaga 2 9 5 3" xfId="41059"/>
    <cellStyle name="Uwaga 2 9 5 4" xfId="41060"/>
    <cellStyle name="Uwaga 2 9 50" xfId="41061"/>
    <cellStyle name="Uwaga 2 9 50 2" xfId="41062"/>
    <cellStyle name="Uwaga 2 9 50 3" xfId="41063"/>
    <cellStyle name="Uwaga 2 9 51" xfId="41064"/>
    <cellStyle name="Uwaga 2 9 51 2" xfId="41065"/>
    <cellStyle name="Uwaga 2 9 51 3" xfId="41066"/>
    <cellStyle name="Uwaga 2 9 52" xfId="41067"/>
    <cellStyle name="Uwaga 2 9 52 2" xfId="41068"/>
    <cellStyle name="Uwaga 2 9 52 3" xfId="41069"/>
    <cellStyle name="Uwaga 2 9 53" xfId="41070"/>
    <cellStyle name="Uwaga 2 9 53 2" xfId="41071"/>
    <cellStyle name="Uwaga 2 9 53 3" xfId="41072"/>
    <cellStyle name="Uwaga 2 9 54" xfId="41073"/>
    <cellStyle name="Uwaga 2 9 54 2" xfId="41074"/>
    <cellStyle name="Uwaga 2 9 54 3" xfId="41075"/>
    <cellStyle name="Uwaga 2 9 55" xfId="41076"/>
    <cellStyle name="Uwaga 2 9 55 2" xfId="41077"/>
    <cellStyle name="Uwaga 2 9 55 3" xfId="41078"/>
    <cellStyle name="Uwaga 2 9 56" xfId="41079"/>
    <cellStyle name="Uwaga 2 9 56 2" xfId="41080"/>
    <cellStyle name="Uwaga 2 9 56 3" xfId="41081"/>
    <cellStyle name="Uwaga 2 9 57" xfId="41082"/>
    <cellStyle name="Uwaga 2 9 58" xfId="41083"/>
    <cellStyle name="Uwaga 2 9 6" xfId="41084"/>
    <cellStyle name="Uwaga 2 9 6 2" xfId="41085"/>
    <cellStyle name="Uwaga 2 9 6 3" xfId="41086"/>
    <cellStyle name="Uwaga 2 9 6 4" xfId="41087"/>
    <cellStyle name="Uwaga 2 9 7" xfId="41088"/>
    <cellStyle name="Uwaga 2 9 7 2" xfId="41089"/>
    <cellStyle name="Uwaga 2 9 7 3" xfId="41090"/>
    <cellStyle name="Uwaga 2 9 7 4" xfId="41091"/>
    <cellStyle name="Uwaga 2 9 8" xfId="41092"/>
    <cellStyle name="Uwaga 2 9 8 2" xfId="41093"/>
    <cellStyle name="Uwaga 2 9 8 3" xfId="41094"/>
    <cellStyle name="Uwaga 2 9 8 4" xfId="41095"/>
    <cellStyle name="Uwaga 2 9 9" xfId="41096"/>
    <cellStyle name="Uwaga 2 9 9 2" xfId="41097"/>
    <cellStyle name="Uwaga 2 9 9 3" xfId="41098"/>
    <cellStyle name="Uwaga 2 9 9 4" xfId="41099"/>
    <cellStyle name="Uwaga 2 90" xfId="41100"/>
    <cellStyle name="Uwaga 2 91" xfId="41101"/>
    <cellStyle name="Uwaga 20" xfId="41102"/>
    <cellStyle name="Uwaga 21" xfId="41103"/>
    <cellStyle name="Uwaga 22" xfId="41104"/>
    <cellStyle name="Uwaga 23" xfId="41105"/>
    <cellStyle name="Uwaga 24" xfId="41106"/>
    <cellStyle name="Uwaga 25" xfId="41107"/>
    <cellStyle name="Uwaga 26" xfId="41108"/>
    <cellStyle name="Uwaga 27" xfId="41109"/>
    <cellStyle name="Uwaga 28" xfId="41110"/>
    <cellStyle name="Uwaga 29" xfId="41111"/>
    <cellStyle name="Uwaga 3" xfId="41112"/>
    <cellStyle name="Uwaga 3 10" xfId="41113"/>
    <cellStyle name="Uwaga 3 10 2" xfId="41114"/>
    <cellStyle name="Uwaga 3 11" xfId="41115"/>
    <cellStyle name="Uwaga 3 11 2" xfId="41116"/>
    <cellStyle name="Uwaga 3 12" xfId="41117"/>
    <cellStyle name="Uwaga 3 12 2" xfId="41118"/>
    <cellStyle name="Uwaga 3 13" xfId="41119"/>
    <cellStyle name="Uwaga 3 13 2" xfId="41120"/>
    <cellStyle name="Uwaga 3 14" xfId="41121"/>
    <cellStyle name="Uwaga 3 14 2" xfId="41122"/>
    <cellStyle name="Uwaga 3 15" xfId="41123"/>
    <cellStyle name="Uwaga 3 15 2" xfId="41124"/>
    <cellStyle name="Uwaga 3 16" xfId="41125"/>
    <cellStyle name="Uwaga 3 16 2" xfId="41126"/>
    <cellStyle name="Uwaga 3 17" xfId="41127"/>
    <cellStyle name="Uwaga 3 17 2" xfId="41128"/>
    <cellStyle name="Uwaga 3 18" xfId="41129"/>
    <cellStyle name="Uwaga 3 18 2" xfId="41130"/>
    <cellStyle name="Uwaga 3 19" xfId="41131"/>
    <cellStyle name="Uwaga 3 19 2" xfId="41132"/>
    <cellStyle name="Uwaga 3 2" xfId="41133"/>
    <cellStyle name="Uwaga 3 2 10" xfId="41134"/>
    <cellStyle name="Uwaga 3 2 10 2" xfId="41135"/>
    <cellStyle name="Uwaga 3 2 11" xfId="41136"/>
    <cellStyle name="Uwaga 3 2 11 2" xfId="41137"/>
    <cellStyle name="Uwaga 3 2 12" xfId="41138"/>
    <cellStyle name="Uwaga 3 2 12 2" xfId="41139"/>
    <cellStyle name="Uwaga 3 2 13" xfId="41140"/>
    <cellStyle name="Uwaga 3 2 13 2" xfId="41141"/>
    <cellStyle name="Uwaga 3 2 14" xfId="41142"/>
    <cellStyle name="Uwaga 3 2 14 2" xfId="41143"/>
    <cellStyle name="Uwaga 3 2 15" xfId="41144"/>
    <cellStyle name="Uwaga 3 2 15 2" xfId="41145"/>
    <cellStyle name="Uwaga 3 2 16" xfId="41146"/>
    <cellStyle name="Uwaga 3 2 16 2" xfId="41147"/>
    <cellStyle name="Uwaga 3 2 17" xfId="41148"/>
    <cellStyle name="Uwaga 3 2 17 2" xfId="41149"/>
    <cellStyle name="Uwaga 3 2 18" xfId="41150"/>
    <cellStyle name="Uwaga 3 2 18 2" xfId="41151"/>
    <cellStyle name="Uwaga 3 2 19" xfId="41152"/>
    <cellStyle name="Uwaga 3 2 19 2" xfId="41153"/>
    <cellStyle name="Uwaga 3 2 2" xfId="41154"/>
    <cellStyle name="Uwaga 3 2 2 10" xfId="41155"/>
    <cellStyle name="Uwaga 3 2 2 11" xfId="41156"/>
    <cellStyle name="Uwaga 3 2 2 12" xfId="41157"/>
    <cellStyle name="Uwaga 3 2 2 13" xfId="41158"/>
    <cellStyle name="Uwaga 3 2 2 14" xfId="41159"/>
    <cellStyle name="Uwaga 3 2 2 15" xfId="41160"/>
    <cellStyle name="Uwaga 3 2 2 16" xfId="41161"/>
    <cellStyle name="Uwaga 3 2 2 17" xfId="41162"/>
    <cellStyle name="Uwaga 3 2 2 18" xfId="41163"/>
    <cellStyle name="Uwaga 3 2 2 19" xfId="41164"/>
    <cellStyle name="Uwaga 3 2 2 2" xfId="41165"/>
    <cellStyle name="Uwaga 3 2 2 3" xfId="41166"/>
    <cellStyle name="Uwaga 3 2 2 4" xfId="41167"/>
    <cellStyle name="Uwaga 3 2 2 5" xfId="41168"/>
    <cellStyle name="Uwaga 3 2 2 6" xfId="41169"/>
    <cellStyle name="Uwaga 3 2 2 7" xfId="41170"/>
    <cellStyle name="Uwaga 3 2 2 8" xfId="41171"/>
    <cellStyle name="Uwaga 3 2 2 9" xfId="41172"/>
    <cellStyle name="Uwaga 3 2 20" xfId="41173"/>
    <cellStyle name="Uwaga 3 2 20 2" xfId="41174"/>
    <cellStyle name="Uwaga 3 2 21" xfId="41175"/>
    <cellStyle name="Uwaga 3 2 21 2" xfId="41176"/>
    <cellStyle name="Uwaga 3 2 22" xfId="41177"/>
    <cellStyle name="Uwaga 3 2 22 2" xfId="41178"/>
    <cellStyle name="Uwaga 3 2 23" xfId="41179"/>
    <cellStyle name="Uwaga 3 2 23 2" xfId="41180"/>
    <cellStyle name="Uwaga 3 2 24" xfId="41181"/>
    <cellStyle name="Uwaga 3 2 24 2" xfId="41182"/>
    <cellStyle name="Uwaga 3 2 25" xfId="41183"/>
    <cellStyle name="Uwaga 3 2 25 2" xfId="41184"/>
    <cellStyle name="Uwaga 3 2 26" xfId="41185"/>
    <cellStyle name="Uwaga 3 2 26 2" xfId="41186"/>
    <cellStyle name="Uwaga 3 2 27" xfId="41187"/>
    <cellStyle name="Uwaga 3 2 27 2" xfId="41188"/>
    <cellStyle name="Uwaga 3 2 28" xfId="41189"/>
    <cellStyle name="Uwaga 3 2 28 2" xfId="41190"/>
    <cellStyle name="Uwaga 3 2 29" xfId="41191"/>
    <cellStyle name="Uwaga 3 2 29 2" xfId="41192"/>
    <cellStyle name="Uwaga 3 2 3" xfId="41193"/>
    <cellStyle name="Uwaga 3 2 3 10" xfId="41194"/>
    <cellStyle name="Uwaga 3 2 3 11" xfId="41195"/>
    <cellStyle name="Uwaga 3 2 3 12" xfId="41196"/>
    <cellStyle name="Uwaga 3 2 3 13" xfId="41197"/>
    <cellStyle name="Uwaga 3 2 3 14" xfId="41198"/>
    <cellStyle name="Uwaga 3 2 3 15" xfId="41199"/>
    <cellStyle name="Uwaga 3 2 3 16" xfId="41200"/>
    <cellStyle name="Uwaga 3 2 3 17" xfId="41201"/>
    <cellStyle name="Uwaga 3 2 3 18" xfId="41202"/>
    <cellStyle name="Uwaga 3 2 3 19" xfId="41203"/>
    <cellStyle name="Uwaga 3 2 3 2" xfId="41204"/>
    <cellStyle name="Uwaga 3 2 3 3" xfId="41205"/>
    <cellStyle name="Uwaga 3 2 3 4" xfId="41206"/>
    <cellStyle name="Uwaga 3 2 3 5" xfId="41207"/>
    <cellStyle name="Uwaga 3 2 3 6" xfId="41208"/>
    <cellStyle name="Uwaga 3 2 3 7" xfId="41209"/>
    <cellStyle name="Uwaga 3 2 3 8" xfId="41210"/>
    <cellStyle name="Uwaga 3 2 3 9" xfId="41211"/>
    <cellStyle name="Uwaga 3 2 30" xfId="41212"/>
    <cellStyle name="Uwaga 3 2 30 2" xfId="41213"/>
    <cellStyle name="Uwaga 3 2 31" xfId="41214"/>
    <cellStyle name="Uwaga 3 2 31 2" xfId="41215"/>
    <cellStyle name="Uwaga 3 2 32" xfId="41216"/>
    <cellStyle name="Uwaga 3 2 33" xfId="41217"/>
    <cellStyle name="Uwaga 3 2 34" xfId="41218"/>
    <cellStyle name="Uwaga 3 2 35" xfId="41219"/>
    <cellStyle name="Uwaga 3 2 36" xfId="41220"/>
    <cellStyle name="Uwaga 3 2 37" xfId="41221"/>
    <cellStyle name="Uwaga 3 2 38" xfId="41222"/>
    <cellStyle name="Uwaga 3 2 39" xfId="41223"/>
    <cellStyle name="Uwaga 3 2 4" xfId="41224"/>
    <cellStyle name="Uwaga 3 2 4 10" xfId="41225"/>
    <cellStyle name="Uwaga 3 2 4 11" xfId="41226"/>
    <cellStyle name="Uwaga 3 2 4 12" xfId="41227"/>
    <cellStyle name="Uwaga 3 2 4 13" xfId="41228"/>
    <cellStyle name="Uwaga 3 2 4 14" xfId="41229"/>
    <cellStyle name="Uwaga 3 2 4 15" xfId="41230"/>
    <cellStyle name="Uwaga 3 2 4 16" xfId="41231"/>
    <cellStyle name="Uwaga 3 2 4 17" xfId="41232"/>
    <cellStyle name="Uwaga 3 2 4 18" xfId="41233"/>
    <cellStyle name="Uwaga 3 2 4 19" xfId="41234"/>
    <cellStyle name="Uwaga 3 2 4 2" xfId="41235"/>
    <cellStyle name="Uwaga 3 2 4 3" xfId="41236"/>
    <cellStyle name="Uwaga 3 2 4 4" xfId="41237"/>
    <cellStyle name="Uwaga 3 2 4 5" xfId="41238"/>
    <cellStyle name="Uwaga 3 2 4 6" xfId="41239"/>
    <cellStyle name="Uwaga 3 2 4 7" xfId="41240"/>
    <cellStyle name="Uwaga 3 2 4 8" xfId="41241"/>
    <cellStyle name="Uwaga 3 2 4 9" xfId="41242"/>
    <cellStyle name="Uwaga 3 2 40" xfId="41243"/>
    <cellStyle name="Uwaga 3 2 41" xfId="41244"/>
    <cellStyle name="Uwaga 3 2 42" xfId="41245"/>
    <cellStyle name="Uwaga 3 2 43" xfId="41246"/>
    <cellStyle name="Uwaga 3 2 44" xfId="41247"/>
    <cellStyle name="Uwaga 3 2 45" xfId="41248"/>
    <cellStyle name="Uwaga 3 2 46" xfId="41249"/>
    <cellStyle name="Uwaga 3 2 47" xfId="41250"/>
    <cellStyle name="Uwaga 3 2 48" xfId="41251"/>
    <cellStyle name="Uwaga 3 2 49" xfId="41252"/>
    <cellStyle name="Uwaga 3 2 5" xfId="41253"/>
    <cellStyle name="Uwaga 3 2 5 10" xfId="41254"/>
    <cellStyle name="Uwaga 3 2 5 11" xfId="41255"/>
    <cellStyle name="Uwaga 3 2 5 12" xfId="41256"/>
    <cellStyle name="Uwaga 3 2 5 13" xfId="41257"/>
    <cellStyle name="Uwaga 3 2 5 14" xfId="41258"/>
    <cellStyle name="Uwaga 3 2 5 15" xfId="41259"/>
    <cellStyle name="Uwaga 3 2 5 16" xfId="41260"/>
    <cellStyle name="Uwaga 3 2 5 17" xfId="41261"/>
    <cellStyle name="Uwaga 3 2 5 18" xfId="41262"/>
    <cellStyle name="Uwaga 3 2 5 19" xfId="41263"/>
    <cellStyle name="Uwaga 3 2 5 2" xfId="41264"/>
    <cellStyle name="Uwaga 3 2 5 3" xfId="41265"/>
    <cellStyle name="Uwaga 3 2 5 4" xfId="41266"/>
    <cellStyle name="Uwaga 3 2 5 5" xfId="41267"/>
    <cellStyle name="Uwaga 3 2 5 6" xfId="41268"/>
    <cellStyle name="Uwaga 3 2 5 7" xfId="41269"/>
    <cellStyle name="Uwaga 3 2 5 8" xfId="41270"/>
    <cellStyle name="Uwaga 3 2 5 9" xfId="41271"/>
    <cellStyle name="Uwaga 3 2 50" xfId="41272"/>
    <cellStyle name="Uwaga 3 2 51" xfId="41273"/>
    <cellStyle name="Uwaga 3 2 52" xfId="41274"/>
    <cellStyle name="Uwaga 3 2 53" xfId="41275"/>
    <cellStyle name="Uwaga 3 2 54" xfId="41276"/>
    <cellStyle name="Uwaga 3 2 55" xfId="41277"/>
    <cellStyle name="Uwaga 3 2 56" xfId="41278"/>
    <cellStyle name="Uwaga 3 2 57" xfId="41279"/>
    <cellStyle name="Uwaga 3 2 58" xfId="41280"/>
    <cellStyle name="Uwaga 3 2 59" xfId="41281"/>
    <cellStyle name="Uwaga 3 2 6" xfId="41282"/>
    <cellStyle name="Uwaga 3 2 6 2" xfId="41283"/>
    <cellStyle name="Uwaga 3 2 60" xfId="41284"/>
    <cellStyle name="Uwaga 3 2 61" xfId="41285"/>
    <cellStyle name="Uwaga 3 2 62" xfId="41286"/>
    <cellStyle name="Uwaga 3 2 63" xfId="41287"/>
    <cellStyle name="Uwaga 3 2 64" xfId="41288"/>
    <cellStyle name="Uwaga 3 2 65" xfId="41289"/>
    <cellStyle name="Uwaga 3 2 66" xfId="41290"/>
    <cellStyle name="Uwaga 3 2 67" xfId="41291"/>
    <cellStyle name="Uwaga 3 2 68" xfId="41292"/>
    <cellStyle name="Uwaga 3 2 69" xfId="41293"/>
    <cellStyle name="Uwaga 3 2 7" xfId="41294"/>
    <cellStyle name="Uwaga 3 2 7 2" xfId="41295"/>
    <cellStyle name="Uwaga 3 2 70" xfId="41296"/>
    <cellStyle name="Uwaga 3 2 71" xfId="41297"/>
    <cellStyle name="Uwaga 3 2 72" xfId="41298"/>
    <cellStyle name="Uwaga 3 2 73" xfId="41299"/>
    <cellStyle name="Uwaga 3 2 74" xfId="41300"/>
    <cellStyle name="Uwaga 3 2 75" xfId="41301"/>
    <cellStyle name="Uwaga 3 2 8" xfId="41302"/>
    <cellStyle name="Uwaga 3 2 8 2" xfId="41303"/>
    <cellStyle name="Uwaga 3 2 9" xfId="41304"/>
    <cellStyle name="Uwaga 3 2 9 2" xfId="41305"/>
    <cellStyle name="Uwaga 3 20" xfId="41306"/>
    <cellStyle name="Uwaga 3 20 2" xfId="41307"/>
    <cellStyle name="Uwaga 3 21" xfId="41308"/>
    <cellStyle name="Uwaga 3 21 2" xfId="41309"/>
    <cellStyle name="Uwaga 3 22" xfId="41310"/>
    <cellStyle name="Uwaga 3 22 2" xfId="41311"/>
    <cellStyle name="Uwaga 3 23" xfId="41312"/>
    <cellStyle name="Uwaga 3 23 2" xfId="41313"/>
    <cellStyle name="Uwaga 3 24" xfId="41314"/>
    <cellStyle name="Uwaga 3 24 2" xfId="41315"/>
    <cellStyle name="Uwaga 3 25" xfId="41316"/>
    <cellStyle name="Uwaga 3 25 2" xfId="41317"/>
    <cellStyle name="Uwaga 3 26" xfId="41318"/>
    <cellStyle name="Uwaga 3 26 2" xfId="41319"/>
    <cellStyle name="Uwaga 3 27" xfId="41320"/>
    <cellStyle name="Uwaga 3 27 2" xfId="41321"/>
    <cellStyle name="Uwaga 3 28" xfId="41322"/>
    <cellStyle name="Uwaga 3 28 2" xfId="41323"/>
    <cellStyle name="Uwaga 3 29" xfId="41324"/>
    <cellStyle name="Uwaga 3 29 2" xfId="41325"/>
    <cellStyle name="Uwaga 3 3" xfId="41326"/>
    <cellStyle name="Uwaga 3 3 10" xfId="41327"/>
    <cellStyle name="Uwaga 3 3 10 2" xfId="41328"/>
    <cellStyle name="Uwaga 3 3 11" xfId="41329"/>
    <cellStyle name="Uwaga 3 3 11 2" xfId="41330"/>
    <cellStyle name="Uwaga 3 3 12" xfId="41331"/>
    <cellStyle name="Uwaga 3 3 12 2" xfId="41332"/>
    <cellStyle name="Uwaga 3 3 13" xfId="41333"/>
    <cellStyle name="Uwaga 3 3 13 2" xfId="41334"/>
    <cellStyle name="Uwaga 3 3 14" xfId="41335"/>
    <cellStyle name="Uwaga 3 3 14 2" xfId="41336"/>
    <cellStyle name="Uwaga 3 3 15" xfId="41337"/>
    <cellStyle name="Uwaga 3 3 15 2" xfId="41338"/>
    <cellStyle name="Uwaga 3 3 16" xfId="41339"/>
    <cellStyle name="Uwaga 3 3 16 2" xfId="41340"/>
    <cellStyle name="Uwaga 3 3 17" xfId="41341"/>
    <cellStyle name="Uwaga 3 3 17 2" xfId="41342"/>
    <cellStyle name="Uwaga 3 3 18" xfId="41343"/>
    <cellStyle name="Uwaga 3 3 18 2" xfId="41344"/>
    <cellStyle name="Uwaga 3 3 19" xfId="41345"/>
    <cellStyle name="Uwaga 3 3 19 2" xfId="41346"/>
    <cellStyle name="Uwaga 3 3 2" xfId="41347"/>
    <cellStyle name="Uwaga 3 3 2 10" xfId="41348"/>
    <cellStyle name="Uwaga 3 3 2 11" xfId="41349"/>
    <cellStyle name="Uwaga 3 3 2 12" xfId="41350"/>
    <cellStyle name="Uwaga 3 3 2 13" xfId="41351"/>
    <cellStyle name="Uwaga 3 3 2 14" xfId="41352"/>
    <cellStyle name="Uwaga 3 3 2 15" xfId="41353"/>
    <cellStyle name="Uwaga 3 3 2 16" xfId="41354"/>
    <cellStyle name="Uwaga 3 3 2 17" xfId="41355"/>
    <cellStyle name="Uwaga 3 3 2 18" xfId="41356"/>
    <cellStyle name="Uwaga 3 3 2 19" xfId="41357"/>
    <cellStyle name="Uwaga 3 3 2 2" xfId="41358"/>
    <cellStyle name="Uwaga 3 3 2 3" xfId="41359"/>
    <cellStyle name="Uwaga 3 3 2 4" xfId="41360"/>
    <cellStyle name="Uwaga 3 3 2 5" xfId="41361"/>
    <cellStyle name="Uwaga 3 3 2 6" xfId="41362"/>
    <cellStyle name="Uwaga 3 3 2 7" xfId="41363"/>
    <cellStyle name="Uwaga 3 3 2 8" xfId="41364"/>
    <cellStyle name="Uwaga 3 3 2 9" xfId="41365"/>
    <cellStyle name="Uwaga 3 3 20" xfId="41366"/>
    <cellStyle name="Uwaga 3 3 20 2" xfId="41367"/>
    <cellStyle name="Uwaga 3 3 21" xfId="41368"/>
    <cellStyle name="Uwaga 3 3 21 2" xfId="41369"/>
    <cellStyle name="Uwaga 3 3 22" xfId="41370"/>
    <cellStyle name="Uwaga 3 3 22 2" xfId="41371"/>
    <cellStyle name="Uwaga 3 3 23" xfId="41372"/>
    <cellStyle name="Uwaga 3 3 23 2" xfId="41373"/>
    <cellStyle name="Uwaga 3 3 24" xfId="41374"/>
    <cellStyle name="Uwaga 3 3 24 2" xfId="41375"/>
    <cellStyle name="Uwaga 3 3 25" xfId="41376"/>
    <cellStyle name="Uwaga 3 3 25 2" xfId="41377"/>
    <cellStyle name="Uwaga 3 3 26" xfId="41378"/>
    <cellStyle name="Uwaga 3 3 26 2" xfId="41379"/>
    <cellStyle name="Uwaga 3 3 27" xfId="41380"/>
    <cellStyle name="Uwaga 3 3 27 2" xfId="41381"/>
    <cellStyle name="Uwaga 3 3 28" xfId="41382"/>
    <cellStyle name="Uwaga 3 3 28 2" xfId="41383"/>
    <cellStyle name="Uwaga 3 3 29" xfId="41384"/>
    <cellStyle name="Uwaga 3 3 29 2" xfId="41385"/>
    <cellStyle name="Uwaga 3 3 3" xfId="41386"/>
    <cellStyle name="Uwaga 3 3 3 10" xfId="41387"/>
    <cellStyle name="Uwaga 3 3 3 11" xfId="41388"/>
    <cellStyle name="Uwaga 3 3 3 12" xfId="41389"/>
    <cellStyle name="Uwaga 3 3 3 13" xfId="41390"/>
    <cellStyle name="Uwaga 3 3 3 14" xfId="41391"/>
    <cellStyle name="Uwaga 3 3 3 15" xfId="41392"/>
    <cellStyle name="Uwaga 3 3 3 16" xfId="41393"/>
    <cellStyle name="Uwaga 3 3 3 17" xfId="41394"/>
    <cellStyle name="Uwaga 3 3 3 18" xfId="41395"/>
    <cellStyle name="Uwaga 3 3 3 19" xfId="41396"/>
    <cellStyle name="Uwaga 3 3 3 2" xfId="41397"/>
    <cellStyle name="Uwaga 3 3 3 3" xfId="41398"/>
    <cellStyle name="Uwaga 3 3 3 4" xfId="41399"/>
    <cellStyle name="Uwaga 3 3 3 5" xfId="41400"/>
    <cellStyle name="Uwaga 3 3 3 6" xfId="41401"/>
    <cellStyle name="Uwaga 3 3 3 7" xfId="41402"/>
    <cellStyle name="Uwaga 3 3 3 8" xfId="41403"/>
    <cellStyle name="Uwaga 3 3 3 9" xfId="41404"/>
    <cellStyle name="Uwaga 3 3 30" xfId="41405"/>
    <cellStyle name="Uwaga 3 3 30 2" xfId="41406"/>
    <cellStyle name="Uwaga 3 3 31" xfId="41407"/>
    <cellStyle name="Uwaga 3 3 31 2" xfId="41408"/>
    <cellStyle name="Uwaga 3 3 32" xfId="41409"/>
    <cellStyle name="Uwaga 3 3 32 2" xfId="41410"/>
    <cellStyle name="Uwaga 3 3 33" xfId="41411"/>
    <cellStyle name="Uwaga 3 3 33 2" xfId="41412"/>
    <cellStyle name="Uwaga 3 3 34" xfId="41413"/>
    <cellStyle name="Uwaga 3 3 34 2" xfId="41414"/>
    <cellStyle name="Uwaga 3 3 35" xfId="41415"/>
    <cellStyle name="Uwaga 3 3 35 2" xfId="41416"/>
    <cellStyle name="Uwaga 3 3 36" xfId="41417"/>
    <cellStyle name="Uwaga 3 3 36 2" xfId="41418"/>
    <cellStyle name="Uwaga 3 3 37" xfId="41419"/>
    <cellStyle name="Uwaga 3 3 37 2" xfId="41420"/>
    <cellStyle name="Uwaga 3 3 38" xfId="41421"/>
    <cellStyle name="Uwaga 3 3 38 2" xfId="41422"/>
    <cellStyle name="Uwaga 3 3 39" xfId="41423"/>
    <cellStyle name="Uwaga 3 3 39 2" xfId="41424"/>
    <cellStyle name="Uwaga 3 3 4" xfId="41425"/>
    <cellStyle name="Uwaga 3 3 4 10" xfId="41426"/>
    <cellStyle name="Uwaga 3 3 4 11" xfId="41427"/>
    <cellStyle name="Uwaga 3 3 4 12" xfId="41428"/>
    <cellStyle name="Uwaga 3 3 4 13" xfId="41429"/>
    <cellStyle name="Uwaga 3 3 4 14" xfId="41430"/>
    <cellStyle name="Uwaga 3 3 4 15" xfId="41431"/>
    <cellStyle name="Uwaga 3 3 4 16" xfId="41432"/>
    <cellStyle name="Uwaga 3 3 4 17" xfId="41433"/>
    <cellStyle name="Uwaga 3 3 4 18" xfId="41434"/>
    <cellStyle name="Uwaga 3 3 4 19" xfId="41435"/>
    <cellStyle name="Uwaga 3 3 4 2" xfId="41436"/>
    <cellStyle name="Uwaga 3 3 4 3" xfId="41437"/>
    <cellStyle name="Uwaga 3 3 4 4" xfId="41438"/>
    <cellStyle name="Uwaga 3 3 4 5" xfId="41439"/>
    <cellStyle name="Uwaga 3 3 4 6" xfId="41440"/>
    <cellStyle name="Uwaga 3 3 4 7" xfId="41441"/>
    <cellStyle name="Uwaga 3 3 4 8" xfId="41442"/>
    <cellStyle name="Uwaga 3 3 4 9" xfId="41443"/>
    <cellStyle name="Uwaga 3 3 40" xfId="41444"/>
    <cellStyle name="Uwaga 3 3 40 2" xfId="41445"/>
    <cellStyle name="Uwaga 3 3 41" xfId="41446"/>
    <cellStyle name="Uwaga 3 3 41 2" xfId="41447"/>
    <cellStyle name="Uwaga 3 3 42" xfId="41448"/>
    <cellStyle name="Uwaga 3 3 42 2" xfId="41449"/>
    <cellStyle name="Uwaga 3 3 43" xfId="41450"/>
    <cellStyle name="Uwaga 3 3 43 2" xfId="41451"/>
    <cellStyle name="Uwaga 3 3 44" xfId="41452"/>
    <cellStyle name="Uwaga 3 3 45" xfId="41453"/>
    <cellStyle name="Uwaga 3 3 46" xfId="41454"/>
    <cellStyle name="Uwaga 3 3 47" xfId="41455"/>
    <cellStyle name="Uwaga 3 3 48" xfId="41456"/>
    <cellStyle name="Uwaga 3 3 49" xfId="41457"/>
    <cellStyle name="Uwaga 3 3 5" xfId="41458"/>
    <cellStyle name="Uwaga 3 3 5 10" xfId="41459"/>
    <cellStyle name="Uwaga 3 3 5 11" xfId="41460"/>
    <cellStyle name="Uwaga 3 3 5 12" xfId="41461"/>
    <cellStyle name="Uwaga 3 3 5 13" xfId="41462"/>
    <cellStyle name="Uwaga 3 3 5 14" xfId="41463"/>
    <cellStyle name="Uwaga 3 3 5 15" xfId="41464"/>
    <cellStyle name="Uwaga 3 3 5 16" xfId="41465"/>
    <cellStyle name="Uwaga 3 3 5 17" xfId="41466"/>
    <cellStyle name="Uwaga 3 3 5 18" xfId="41467"/>
    <cellStyle name="Uwaga 3 3 5 19" xfId="41468"/>
    <cellStyle name="Uwaga 3 3 5 2" xfId="41469"/>
    <cellStyle name="Uwaga 3 3 5 3" xfId="41470"/>
    <cellStyle name="Uwaga 3 3 5 4" xfId="41471"/>
    <cellStyle name="Uwaga 3 3 5 5" xfId="41472"/>
    <cellStyle name="Uwaga 3 3 5 6" xfId="41473"/>
    <cellStyle name="Uwaga 3 3 5 7" xfId="41474"/>
    <cellStyle name="Uwaga 3 3 5 8" xfId="41475"/>
    <cellStyle name="Uwaga 3 3 5 9" xfId="41476"/>
    <cellStyle name="Uwaga 3 3 50" xfId="41477"/>
    <cellStyle name="Uwaga 3 3 51" xfId="41478"/>
    <cellStyle name="Uwaga 3 3 52" xfId="41479"/>
    <cellStyle name="Uwaga 3 3 53" xfId="41480"/>
    <cellStyle name="Uwaga 3 3 54" xfId="41481"/>
    <cellStyle name="Uwaga 3 3 55" xfId="41482"/>
    <cellStyle name="Uwaga 3 3 56" xfId="41483"/>
    <cellStyle name="Uwaga 3 3 57" xfId="41484"/>
    <cellStyle name="Uwaga 3 3 58" xfId="41485"/>
    <cellStyle name="Uwaga 3 3 59" xfId="41486"/>
    <cellStyle name="Uwaga 3 3 6" xfId="41487"/>
    <cellStyle name="Uwaga 3 3 6 2" xfId="41488"/>
    <cellStyle name="Uwaga 3 3 60" xfId="41489"/>
    <cellStyle name="Uwaga 3 3 61" xfId="41490"/>
    <cellStyle name="Uwaga 3 3 62" xfId="41491"/>
    <cellStyle name="Uwaga 3 3 63" xfId="41492"/>
    <cellStyle name="Uwaga 3 3 64" xfId="41493"/>
    <cellStyle name="Uwaga 3 3 65" xfId="41494"/>
    <cellStyle name="Uwaga 3 3 66" xfId="41495"/>
    <cellStyle name="Uwaga 3 3 67" xfId="41496"/>
    <cellStyle name="Uwaga 3 3 68" xfId="41497"/>
    <cellStyle name="Uwaga 3 3 69" xfId="41498"/>
    <cellStyle name="Uwaga 3 3 7" xfId="41499"/>
    <cellStyle name="Uwaga 3 3 7 2" xfId="41500"/>
    <cellStyle name="Uwaga 3 3 70" xfId="41501"/>
    <cellStyle name="Uwaga 3 3 71" xfId="41502"/>
    <cellStyle name="Uwaga 3 3 72" xfId="41503"/>
    <cellStyle name="Uwaga 3 3 73" xfId="41504"/>
    <cellStyle name="Uwaga 3 3 74" xfId="41505"/>
    <cellStyle name="Uwaga 3 3 75" xfId="41506"/>
    <cellStyle name="Uwaga 3 3 8" xfId="41507"/>
    <cellStyle name="Uwaga 3 3 8 2" xfId="41508"/>
    <cellStyle name="Uwaga 3 3 9" xfId="41509"/>
    <cellStyle name="Uwaga 3 3 9 2" xfId="41510"/>
    <cellStyle name="Uwaga 3 30" xfId="41511"/>
    <cellStyle name="Uwaga 3 30 2" xfId="41512"/>
    <cellStyle name="Uwaga 3 31" xfId="41513"/>
    <cellStyle name="Uwaga 3 31 2" xfId="41514"/>
    <cellStyle name="Uwaga 3 32" xfId="41515"/>
    <cellStyle name="Uwaga 3 32 2" xfId="41516"/>
    <cellStyle name="Uwaga 3 33" xfId="41517"/>
    <cellStyle name="Uwaga 3 33 2" xfId="41518"/>
    <cellStyle name="Uwaga 3 34" xfId="41519"/>
    <cellStyle name="Uwaga 3 34 2" xfId="41520"/>
    <cellStyle name="Uwaga 3 35" xfId="41521"/>
    <cellStyle name="Uwaga 3 35 2" xfId="41522"/>
    <cellStyle name="Uwaga 3 36" xfId="41523"/>
    <cellStyle name="Uwaga 3 36 2" xfId="41524"/>
    <cellStyle name="Uwaga 3 37" xfId="41525"/>
    <cellStyle name="Uwaga 3 37 2" xfId="41526"/>
    <cellStyle name="Uwaga 3 38" xfId="41527"/>
    <cellStyle name="Uwaga 3 38 2" xfId="41528"/>
    <cellStyle name="Uwaga 3 39" xfId="41529"/>
    <cellStyle name="Uwaga 3 39 2" xfId="41530"/>
    <cellStyle name="Uwaga 3 4" xfId="41531"/>
    <cellStyle name="Uwaga 3 4 10" xfId="41532"/>
    <cellStyle name="Uwaga 3 4 10 2" xfId="41533"/>
    <cellStyle name="Uwaga 3 4 11" xfId="41534"/>
    <cellStyle name="Uwaga 3 4 11 2" xfId="41535"/>
    <cellStyle name="Uwaga 3 4 12" xfId="41536"/>
    <cellStyle name="Uwaga 3 4 12 2" xfId="41537"/>
    <cellStyle name="Uwaga 3 4 13" xfId="41538"/>
    <cellStyle name="Uwaga 3 4 13 2" xfId="41539"/>
    <cellStyle name="Uwaga 3 4 14" xfId="41540"/>
    <cellStyle name="Uwaga 3 4 14 2" xfId="41541"/>
    <cellStyle name="Uwaga 3 4 15" xfId="41542"/>
    <cellStyle name="Uwaga 3 4 15 2" xfId="41543"/>
    <cellStyle name="Uwaga 3 4 16" xfId="41544"/>
    <cellStyle name="Uwaga 3 4 16 2" xfId="41545"/>
    <cellStyle name="Uwaga 3 4 17" xfId="41546"/>
    <cellStyle name="Uwaga 3 4 17 2" xfId="41547"/>
    <cellStyle name="Uwaga 3 4 18" xfId="41548"/>
    <cellStyle name="Uwaga 3 4 18 2" xfId="41549"/>
    <cellStyle name="Uwaga 3 4 19" xfId="41550"/>
    <cellStyle name="Uwaga 3 4 19 2" xfId="41551"/>
    <cellStyle name="Uwaga 3 4 2" xfId="41552"/>
    <cellStyle name="Uwaga 3 4 2 10" xfId="41553"/>
    <cellStyle name="Uwaga 3 4 2 11" xfId="41554"/>
    <cellStyle name="Uwaga 3 4 2 12" xfId="41555"/>
    <cellStyle name="Uwaga 3 4 2 13" xfId="41556"/>
    <cellStyle name="Uwaga 3 4 2 14" xfId="41557"/>
    <cellStyle name="Uwaga 3 4 2 15" xfId="41558"/>
    <cellStyle name="Uwaga 3 4 2 16" xfId="41559"/>
    <cellStyle name="Uwaga 3 4 2 17" xfId="41560"/>
    <cellStyle name="Uwaga 3 4 2 18" xfId="41561"/>
    <cellStyle name="Uwaga 3 4 2 19" xfId="41562"/>
    <cellStyle name="Uwaga 3 4 2 2" xfId="41563"/>
    <cellStyle name="Uwaga 3 4 2 3" xfId="41564"/>
    <cellStyle name="Uwaga 3 4 2 4" xfId="41565"/>
    <cellStyle name="Uwaga 3 4 2 5" xfId="41566"/>
    <cellStyle name="Uwaga 3 4 2 6" xfId="41567"/>
    <cellStyle name="Uwaga 3 4 2 7" xfId="41568"/>
    <cellStyle name="Uwaga 3 4 2 8" xfId="41569"/>
    <cellStyle name="Uwaga 3 4 2 9" xfId="41570"/>
    <cellStyle name="Uwaga 3 4 20" xfId="41571"/>
    <cellStyle name="Uwaga 3 4 20 2" xfId="41572"/>
    <cellStyle name="Uwaga 3 4 21" xfId="41573"/>
    <cellStyle name="Uwaga 3 4 21 2" xfId="41574"/>
    <cellStyle name="Uwaga 3 4 22" xfId="41575"/>
    <cellStyle name="Uwaga 3 4 22 2" xfId="41576"/>
    <cellStyle name="Uwaga 3 4 23" xfId="41577"/>
    <cellStyle name="Uwaga 3 4 23 2" xfId="41578"/>
    <cellStyle name="Uwaga 3 4 24" xfId="41579"/>
    <cellStyle name="Uwaga 3 4 24 2" xfId="41580"/>
    <cellStyle name="Uwaga 3 4 25" xfId="41581"/>
    <cellStyle name="Uwaga 3 4 25 2" xfId="41582"/>
    <cellStyle name="Uwaga 3 4 26" xfId="41583"/>
    <cellStyle name="Uwaga 3 4 26 2" xfId="41584"/>
    <cellStyle name="Uwaga 3 4 27" xfId="41585"/>
    <cellStyle name="Uwaga 3 4 27 2" xfId="41586"/>
    <cellStyle name="Uwaga 3 4 28" xfId="41587"/>
    <cellStyle name="Uwaga 3 4 28 2" xfId="41588"/>
    <cellStyle name="Uwaga 3 4 29" xfId="41589"/>
    <cellStyle name="Uwaga 3 4 29 2" xfId="41590"/>
    <cellStyle name="Uwaga 3 4 3" xfId="41591"/>
    <cellStyle name="Uwaga 3 4 3 10" xfId="41592"/>
    <cellStyle name="Uwaga 3 4 3 11" xfId="41593"/>
    <cellStyle name="Uwaga 3 4 3 12" xfId="41594"/>
    <cellStyle name="Uwaga 3 4 3 13" xfId="41595"/>
    <cellStyle name="Uwaga 3 4 3 14" xfId="41596"/>
    <cellStyle name="Uwaga 3 4 3 15" xfId="41597"/>
    <cellStyle name="Uwaga 3 4 3 16" xfId="41598"/>
    <cellStyle name="Uwaga 3 4 3 17" xfId="41599"/>
    <cellStyle name="Uwaga 3 4 3 18" xfId="41600"/>
    <cellStyle name="Uwaga 3 4 3 19" xfId="41601"/>
    <cellStyle name="Uwaga 3 4 3 2" xfId="41602"/>
    <cellStyle name="Uwaga 3 4 3 3" xfId="41603"/>
    <cellStyle name="Uwaga 3 4 3 4" xfId="41604"/>
    <cellStyle name="Uwaga 3 4 3 5" xfId="41605"/>
    <cellStyle name="Uwaga 3 4 3 6" xfId="41606"/>
    <cellStyle name="Uwaga 3 4 3 7" xfId="41607"/>
    <cellStyle name="Uwaga 3 4 3 8" xfId="41608"/>
    <cellStyle name="Uwaga 3 4 3 9" xfId="41609"/>
    <cellStyle name="Uwaga 3 4 30" xfId="41610"/>
    <cellStyle name="Uwaga 3 4 30 2" xfId="41611"/>
    <cellStyle name="Uwaga 3 4 31" xfId="41612"/>
    <cellStyle name="Uwaga 3 4 31 2" xfId="41613"/>
    <cellStyle name="Uwaga 3 4 32" xfId="41614"/>
    <cellStyle name="Uwaga 3 4 32 2" xfId="41615"/>
    <cellStyle name="Uwaga 3 4 33" xfId="41616"/>
    <cellStyle name="Uwaga 3 4 33 2" xfId="41617"/>
    <cellStyle name="Uwaga 3 4 34" xfId="41618"/>
    <cellStyle name="Uwaga 3 4 34 2" xfId="41619"/>
    <cellStyle name="Uwaga 3 4 35" xfId="41620"/>
    <cellStyle name="Uwaga 3 4 35 2" xfId="41621"/>
    <cellStyle name="Uwaga 3 4 36" xfId="41622"/>
    <cellStyle name="Uwaga 3 4 36 2" xfId="41623"/>
    <cellStyle name="Uwaga 3 4 37" xfId="41624"/>
    <cellStyle name="Uwaga 3 4 37 2" xfId="41625"/>
    <cellStyle name="Uwaga 3 4 38" xfId="41626"/>
    <cellStyle name="Uwaga 3 4 38 2" xfId="41627"/>
    <cellStyle name="Uwaga 3 4 39" xfId="41628"/>
    <cellStyle name="Uwaga 3 4 39 2" xfId="41629"/>
    <cellStyle name="Uwaga 3 4 4" xfId="41630"/>
    <cellStyle name="Uwaga 3 4 4 10" xfId="41631"/>
    <cellStyle name="Uwaga 3 4 4 11" xfId="41632"/>
    <cellStyle name="Uwaga 3 4 4 12" xfId="41633"/>
    <cellStyle name="Uwaga 3 4 4 13" xfId="41634"/>
    <cellStyle name="Uwaga 3 4 4 14" xfId="41635"/>
    <cellStyle name="Uwaga 3 4 4 15" xfId="41636"/>
    <cellStyle name="Uwaga 3 4 4 16" xfId="41637"/>
    <cellStyle name="Uwaga 3 4 4 17" xfId="41638"/>
    <cellStyle name="Uwaga 3 4 4 18" xfId="41639"/>
    <cellStyle name="Uwaga 3 4 4 19" xfId="41640"/>
    <cellStyle name="Uwaga 3 4 4 2" xfId="41641"/>
    <cellStyle name="Uwaga 3 4 4 3" xfId="41642"/>
    <cellStyle name="Uwaga 3 4 4 4" xfId="41643"/>
    <cellStyle name="Uwaga 3 4 4 5" xfId="41644"/>
    <cellStyle name="Uwaga 3 4 4 6" xfId="41645"/>
    <cellStyle name="Uwaga 3 4 4 7" xfId="41646"/>
    <cellStyle name="Uwaga 3 4 4 8" xfId="41647"/>
    <cellStyle name="Uwaga 3 4 4 9" xfId="41648"/>
    <cellStyle name="Uwaga 3 4 40" xfId="41649"/>
    <cellStyle name="Uwaga 3 4 40 2" xfId="41650"/>
    <cellStyle name="Uwaga 3 4 41" xfId="41651"/>
    <cellStyle name="Uwaga 3 4 41 2" xfId="41652"/>
    <cellStyle name="Uwaga 3 4 42" xfId="41653"/>
    <cellStyle name="Uwaga 3 4 42 2" xfId="41654"/>
    <cellStyle name="Uwaga 3 4 43" xfId="41655"/>
    <cellStyle name="Uwaga 3 4 43 2" xfId="41656"/>
    <cellStyle name="Uwaga 3 4 44" xfId="41657"/>
    <cellStyle name="Uwaga 3 4 45" xfId="41658"/>
    <cellStyle name="Uwaga 3 4 46" xfId="41659"/>
    <cellStyle name="Uwaga 3 4 47" xfId="41660"/>
    <cellStyle name="Uwaga 3 4 48" xfId="41661"/>
    <cellStyle name="Uwaga 3 4 49" xfId="41662"/>
    <cellStyle name="Uwaga 3 4 5" xfId="41663"/>
    <cellStyle name="Uwaga 3 4 5 10" xfId="41664"/>
    <cellStyle name="Uwaga 3 4 5 11" xfId="41665"/>
    <cellStyle name="Uwaga 3 4 5 12" xfId="41666"/>
    <cellStyle name="Uwaga 3 4 5 13" xfId="41667"/>
    <cellStyle name="Uwaga 3 4 5 14" xfId="41668"/>
    <cellStyle name="Uwaga 3 4 5 15" xfId="41669"/>
    <cellStyle name="Uwaga 3 4 5 16" xfId="41670"/>
    <cellStyle name="Uwaga 3 4 5 17" xfId="41671"/>
    <cellStyle name="Uwaga 3 4 5 18" xfId="41672"/>
    <cellStyle name="Uwaga 3 4 5 19" xfId="41673"/>
    <cellStyle name="Uwaga 3 4 5 2" xfId="41674"/>
    <cellStyle name="Uwaga 3 4 5 3" xfId="41675"/>
    <cellStyle name="Uwaga 3 4 5 4" xfId="41676"/>
    <cellStyle name="Uwaga 3 4 5 5" xfId="41677"/>
    <cellStyle name="Uwaga 3 4 5 6" xfId="41678"/>
    <cellStyle name="Uwaga 3 4 5 7" xfId="41679"/>
    <cellStyle name="Uwaga 3 4 5 8" xfId="41680"/>
    <cellStyle name="Uwaga 3 4 5 9" xfId="41681"/>
    <cellStyle name="Uwaga 3 4 50" xfId="41682"/>
    <cellStyle name="Uwaga 3 4 51" xfId="41683"/>
    <cellStyle name="Uwaga 3 4 52" xfId="41684"/>
    <cellStyle name="Uwaga 3 4 53" xfId="41685"/>
    <cellStyle name="Uwaga 3 4 54" xfId="41686"/>
    <cellStyle name="Uwaga 3 4 55" xfId="41687"/>
    <cellStyle name="Uwaga 3 4 56" xfId="41688"/>
    <cellStyle name="Uwaga 3 4 57" xfId="41689"/>
    <cellStyle name="Uwaga 3 4 58" xfId="41690"/>
    <cellStyle name="Uwaga 3 4 59" xfId="41691"/>
    <cellStyle name="Uwaga 3 4 6" xfId="41692"/>
    <cellStyle name="Uwaga 3 4 6 2" xfId="41693"/>
    <cellStyle name="Uwaga 3 4 60" xfId="41694"/>
    <cellStyle name="Uwaga 3 4 61" xfId="41695"/>
    <cellStyle name="Uwaga 3 4 62" xfId="41696"/>
    <cellStyle name="Uwaga 3 4 63" xfId="41697"/>
    <cellStyle name="Uwaga 3 4 64" xfId="41698"/>
    <cellStyle name="Uwaga 3 4 65" xfId="41699"/>
    <cellStyle name="Uwaga 3 4 66" xfId="41700"/>
    <cellStyle name="Uwaga 3 4 67" xfId="41701"/>
    <cellStyle name="Uwaga 3 4 68" xfId="41702"/>
    <cellStyle name="Uwaga 3 4 69" xfId="41703"/>
    <cellStyle name="Uwaga 3 4 7" xfId="41704"/>
    <cellStyle name="Uwaga 3 4 7 2" xfId="41705"/>
    <cellStyle name="Uwaga 3 4 70" xfId="41706"/>
    <cellStyle name="Uwaga 3 4 71" xfId="41707"/>
    <cellStyle name="Uwaga 3 4 72" xfId="41708"/>
    <cellStyle name="Uwaga 3 4 73" xfId="41709"/>
    <cellStyle name="Uwaga 3 4 74" xfId="41710"/>
    <cellStyle name="Uwaga 3 4 75" xfId="41711"/>
    <cellStyle name="Uwaga 3 4 8" xfId="41712"/>
    <cellStyle name="Uwaga 3 4 8 2" xfId="41713"/>
    <cellStyle name="Uwaga 3 4 9" xfId="41714"/>
    <cellStyle name="Uwaga 3 4 9 2" xfId="41715"/>
    <cellStyle name="Uwaga 3 40" xfId="41716"/>
    <cellStyle name="Uwaga 3 40 2" xfId="41717"/>
    <cellStyle name="Uwaga 3 41" xfId="41718"/>
    <cellStyle name="Uwaga 3 41 2" xfId="41719"/>
    <cellStyle name="Uwaga 3 42" xfId="41720"/>
    <cellStyle name="Uwaga 3 42 2" xfId="41721"/>
    <cellStyle name="Uwaga 3 43" xfId="41722"/>
    <cellStyle name="Uwaga 3 43 2" xfId="41723"/>
    <cellStyle name="Uwaga 3 44" xfId="41724"/>
    <cellStyle name="Uwaga 3 44 2" xfId="41725"/>
    <cellStyle name="Uwaga 3 45" xfId="41726"/>
    <cellStyle name="Uwaga 3 45 2" xfId="41727"/>
    <cellStyle name="Uwaga 3 46" xfId="41728"/>
    <cellStyle name="Uwaga 3 46 2" xfId="41729"/>
    <cellStyle name="Uwaga 3 47" xfId="41730"/>
    <cellStyle name="Uwaga 3 47 2" xfId="41731"/>
    <cellStyle name="Uwaga 3 48" xfId="41732"/>
    <cellStyle name="Uwaga 3 48 2" xfId="41733"/>
    <cellStyle name="Uwaga 3 49" xfId="41734"/>
    <cellStyle name="Uwaga 3 49 2" xfId="41735"/>
    <cellStyle name="Uwaga 3 5" xfId="41736"/>
    <cellStyle name="Uwaga 3 5 10" xfId="41737"/>
    <cellStyle name="Uwaga 3 5 10 2" xfId="41738"/>
    <cellStyle name="Uwaga 3 5 11" xfId="41739"/>
    <cellStyle name="Uwaga 3 5 11 2" xfId="41740"/>
    <cellStyle name="Uwaga 3 5 12" xfId="41741"/>
    <cellStyle name="Uwaga 3 5 12 2" xfId="41742"/>
    <cellStyle name="Uwaga 3 5 13" xfId="41743"/>
    <cellStyle name="Uwaga 3 5 13 2" xfId="41744"/>
    <cellStyle name="Uwaga 3 5 14" xfId="41745"/>
    <cellStyle name="Uwaga 3 5 14 2" xfId="41746"/>
    <cellStyle name="Uwaga 3 5 15" xfId="41747"/>
    <cellStyle name="Uwaga 3 5 15 2" xfId="41748"/>
    <cellStyle name="Uwaga 3 5 16" xfId="41749"/>
    <cellStyle name="Uwaga 3 5 16 2" xfId="41750"/>
    <cellStyle name="Uwaga 3 5 17" xfId="41751"/>
    <cellStyle name="Uwaga 3 5 17 2" xfId="41752"/>
    <cellStyle name="Uwaga 3 5 18" xfId="41753"/>
    <cellStyle name="Uwaga 3 5 18 2" xfId="41754"/>
    <cellStyle name="Uwaga 3 5 19" xfId="41755"/>
    <cellStyle name="Uwaga 3 5 19 2" xfId="41756"/>
    <cellStyle name="Uwaga 3 5 2" xfId="41757"/>
    <cellStyle name="Uwaga 3 5 2 10" xfId="41758"/>
    <cellStyle name="Uwaga 3 5 2 11" xfId="41759"/>
    <cellStyle name="Uwaga 3 5 2 12" xfId="41760"/>
    <cellStyle name="Uwaga 3 5 2 13" xfId="41761"/>
    <cellStyle name="Uwaga 3 5 2 14" xfId="41762"/>
    <cellStyle name="Uwaga 3 5 2 15" xfId="41763"/>
    <cellStyle name="Uwaga 3 5 2 16" xfId="41764"/>
    <cellStyle name="Uwaga 3 5 2 17" xfId="41765"/>
    <cellStyle name="Uwaga 3 5 2 18" xfId="41766"/>
    <cellStyle name="Uwaga 3 5 2 19" xfId="41767"/>
    <cellStyle name="Uwaga 3 5 2 2" xfId="41768"/>
    <cellStyle name="Uwaga 3 5 2 3" xfId="41769"/>
    <cellStyle name="Uwaga 3 5 2 4" xfId="41770"/>
    <cellStyle name="Uwaga 3 5 2 5" xfId="41771"/>
    <cellStyle name="Uwaga 3 5 2 6" xfId="41772"/>
    <cellStyle name="Uwaga 3 5 2 7" xfId="41773"/>
    <cellStyle name="Uwaga 3 5 2 8" xfId="41774"/>
    <cellStyle name="Uwaga 3 5 2 9" xfId="41775"/>
    <cellStyle name="Uwaga 3 5 20" xfId="41776"/>
    <cellStyle name="Uwaga 3 5 20 2" xfId="41777"/>
    <cellStyle name="Uwaga 3 5 21" xfId="41778"/>
    <cellStyle name="Uwaga 3 5 21 2" xfId="41779"/>
    <cellStyle name="Uwaga 3 5 22" xfId="41780"/>
    <cellStyle name="Uwaga 3 5 22 2" xfId="41781"/>
    <cellStyle name="Uwaga 3 5 23" xfId="41782"/>
    <cellStyle name="Uwaga 3 5 23 2" xfId="41783"/>
    <cellStyle name="Uwaga 3 5 24" xfId="41784"/>
    <cellStyle name="Uwaga 3 5 24 2" xfId="41785"/>
    <cellStyle name="Uwaga 3 5 25" xfId="41786"/>
    <cellStyle name="Uwaga 3 5 25 2" xfId="41787"/>
    <cellStyle name="Uwaga 3 5 26" xfId="41788"/>
    <cellStyle name="Uwaga 3 5 26 2" xfId="41789"/>
    <cellStyle name="Uwaga 3 5 27" xfId="41790"/>
    <cellStyle name="Uwaga 3 5 27 2" xfId="41791"/>
    <cellStyle name="Uwaga 3 5 28" xfId="41792"/>
    <cellStyle name="Uwaga 3 5 28 2" xfId="41793"/>
    <cellStyle name="Uwaga 3 5 29" xfId="41794"/>
    <cellStyle name="Uwaga 3 5 29 2" xfId="41795"/>
    <cellStyle name="Uwaga 3 5 3" xfId="41796"/>
    <cellStyle name="Uwaga 3 5 3 10" xfId="41797"/>
    <cellStyle name="Uwaga 3 5 3 11" xfId="41798"/>
    <cellStyle name="Uwaga 3 5 3 12" xfId="41799"/>
    <cellStyle name="Uwaga 3 5 3 13" xfId="41800"/>
    <cellStyle name="Uwaga 3 5 3 14" xfId="41801"/>
    <cellStyle name="Uwaga 3 5 3 15" xfId="41802"/>
    <cellStyle name="Uwaga 3 5 3 16" xfId="41803"/>
    <cellStyle name="Uwaga 3 5 3 17" xfId="41804"/>
    <cellStyle name="Uwaga 3 5 3 18" xfId="41805"/>
    <cellStyle name="Uwaga 3 5 3 19" xfId="41806"/>
    <cellStyle name="Uwaga 3 5 3 2" xfId="41807"/>
    <cellStyle name="Uwaga 3 5 3 3" xfId="41808"/>
    <cellStyle name="Uwaga 3 5 3 4" xfId="41809"/>
    <cellStyle name="Uwaga 3 5 3 5" xfId="41810"/>
    <cellStyle name="Uwaga 3 5 3 6" xfId="41811"/>
    <cellStyle name="Uwaga 3 5 3 7" xfId="41812"/>
    <cellStyle name="Uwaga 3 5 3 8" xfId="41813"/>
    <cellStyle name="Uwaga 3 5 3 9" xfId="41814"/>
    <cellStyle name="Uwaga 3 5 30" xfId="41815"/>
    <cellStyle name="Uwaga 3 5 30 2" xfId="41816"/>
    <cellStyle name="Uwaga 3 5 31" xfId="41817"/>
    <cellStyle name="Uwaga 3 5 31 2" xfId="41818"/>
    <cellStyle name="Uwaga 3 5 32" xfId="41819"/>
    <cellStyle name="Uwaga 3 5 32 2" xfId="41820"/>
    <cellStyle name="Uwaga 3 5 33" xfId="41821"/>
    <cellStyle name="Uwaga 3 5 33 2" xfId="41822"/>
    <cellStyle name="Uwaga 3 5 34" xfId="41823"/>
    <cellStyle name="Uwaga 3 5 34 2" xfId="41824"/>
    <cellStyle name="Uwaga 3 5 35" xfId="41825"/>
    <cellStyle name="Uwaga 3 5 35 2" xfId="41826"/>
    <cellStyle name="Uwaga 3 5 36" xfId="41827"/>
    <cellStyle name="Uwaga 3 5 36 2" xfId="41828"/>
    <cellStyle name="Uwaga 3 5 37" xfId="41829"/>
    <cellStyle name="Uwaga 3 5 37 2" xfId="41830"/>
    <cellStyle name="Uwaga 3 5 38" xfId="41831"/>
    <cellStyle name="Uwaga 3 5 38 2" xfId="41832"/>
    <cellStyle name="Uwaga 3 5 39" xfId="41833"/>
    <cellStyle name="Uwaga 3 5 39 2" xfId="41834"/>
    <cellStyle name="Uwaga 3 5 4" xfId="41835"/>
    <cellStyle name="Uwaga 3 5 4 10" xfId="41836"/>
    <cellStyle name="Uwaga 3 5 4 11" xfId="41837"/>
    <cellStyle name="Uwaga 3 5 4 12" xfId="41838"/>
    <cellStyle name="Uwaga 3 5 4 13" xfId="41839"/>
    <cellStyle name="Uwaga 3 5 4 14" xfId="41840"/>
    <cellStyle name="Uwaga 3 5 4 15" xfId="41841"/>
    <cellStyle name="Uwaga 3 5 4 16" xfId="41842"/>
    <cellStyle name="Uwaga 3 5 4 17" xfId="41843"/>
    <cellStyle name="Uwaga 3 5 4 18" xfId="41844"/>
    <cellStyle name="Uwaga 3 5 4 19" xfId="41845"/>
    <cellStyle name="Uwaga 3 5 4 2" xfId="41846"/>
    <cellStyle name="Uwaga 3 5 4 3" xfId="41847"/>
    <cellStyle name="Uwaga 3 5 4 4" xfId="41848"/>
    <cellStyle name="Uwaga 3 5 4 5" xfId="41849"/>
    <cellStyle name="Uwaga 3 5 4 6" xfId="41850"/>
    <cellStyle name="Uwaga 3 5 4 7" xfId="41851"/>
    <cellStyle name="Uwaga 3 5 4 8" xfId="41852"/>
    <cellStyle name="Uwaga 3 5 4 9" xfId="41853"/>
    <cellStyle name="Uwaga 3 5 40" xfId="41854"/>
    <cellStyle name="Uwaga 3 5 40 2" xfId="41855"/>
    <cellStyle name="Uwaga 3 5 41" xfId="41856"/>
    <cellStyle name="Uwaga 3 5 41 2" xfId="41857"/>
    <cellStyle name="Uwaga 3 5 42" xfId="41858"/>
    <cellStyle name="Uwaga 3 5 42 2" xfId="41859"/>
    <cellStyle name="Uwaga 3 5 43" xfId="41860"/>
    <cellStyle name="Uwaga 3 5 43 2" xfId="41861"/>
    <cellStyle name="Uwaga 3 5 44" xfId="41862"/>
    <cellStyle name="Uwaga 3 5 45" xfId="41863"/>
    <cellStyle name="Uwaga 3 5 46" xfId="41864"/>
    <cellStyle name="Uwaga 3 5 47" xfId="41865"/>
    <cellStyle name="Uwaga 3 5 48" xfId="41866"/>
    <cellStyle name="Uwaga 3 5 49" xfId="41867"/>
    <cellStyle name="Uwaga 3 5 5" xfId="41868"/>
    <cellStyle name="Uwaga 3 5 5 10" xfId="41869"/>
    <cellStyle name="Uwaga 3 5 5 11" xfId="41870"/>
    <cellStyle name="Uwaga 3 5 5 12" xfId="41871"/>
    <cellStyle name="Uwaga 3 5 5 13" xfId="41872"/>
    <cellStyle name="Uwaga 3 5 5 14" xfId="41873"/>
    <cellStyle name="Uwaga 3 5 5 15" xfId="41874"/>
    <cellStyle name="Uwaga 3 5 5 16" xfId="41875"/>
    <cellStyle name="Uwaga 3 5 5 17" xfId="41876"/>
    <cellStyle name="Uwaga 3 5 5 18" xfId="41877"/>
    <cellStyle name="Uwaga 3 5 5 19" xfId="41878"/>
    <cellStyle name="Uwaga 3 5 5 2" xfId="41879"/>
    <cellStyle name="Uwaga 3 5 5 3" xfId="41880"/>
    <cellStyle name="Uwaga 3 5 5 4" xfId="41881"/>
    <cellStyle name="Uwaga 3 5 5 5" xfId="41882"/>
    <cellStyle name="Uwaga 3 5 5 6" xfId="41883"/>
    <cellStyle name="Uwaga 3 5 5 7" xfId="41884"/>
    <cellStyle name="Uwaga 3 5 5 8" xfId="41885"/>
    <cellStyle name="Uwaga 3 5 5 9" xfId="41886"/>
    <cellStyle name="Uwaga 3 5 50" xfId="41887"/>
    <cellStyle name="Uwaga 3 5 51" xfId="41888"/>
    <cellStyle name="Uwaga 3 5 52" xfId="41889"/>
    <cellStyle name="Uwaga 3 5 53" xfId="41890"/>
    <cellStyle name="Uwaga 3 5 54" xfId="41891"/>
    <cellStyle name="Uwaga 3 5 55" xfId="41892"/>
    <cellStyle name="Uwaga 3 5 56" xfId="41893"/>
    <cellStyle name="Uwaga 3 5 57" xfId="41894"/>
    <cellStyle name="Uwaga 3 5 58" xfId="41895"/>
    <cellStyle name="Uwaga 3 5 59" xfId="41896"/>
    <cellStyle name="Uwaga 3 5 6" xfId="41897"/>
    <cellStyle name="Uwaga 3 5 6 2" xfId="41898"/>
    <cellStyle name="Uwaga 3 5 60" xfId="41899"/>
    <cellStyle name="Uwaga 3 5 61" xfId="41900"/>
    <cellStyle name="Uwaga 3 5 62" xfId="41901"/>
    <cellStyle name="Uwaga 3 5 63" xfId="41902"/>
    <cellStyle name="Uwaga 3 5 64" xfId="41903"/>
    <cellStyle name="Uwaga 3 5 65" xfId="41904"/>
    <cellStyle name="Uwaga 3 5 66" xfId="41905"/>
    <cellStyle name="Uwaga 3 5 67" xfId="41906"/>
    <cellStyle name="Uwaga 3 5 68" xfId="41907"/>
    <cellStyle name="Uwaga 3 5 69" xfId="41908"/>
    <cellStyle name="Uwaga 3 5 7" xfId="41909"/>
    <cellStyle name="Uwaga 3 5 7 2" xfId="41910"/>
    <cellStyle name="Uwaga 3 5 70" xfId="41911"/>
    <cellStyle name="Uwaga 3 5 71" xfId="41912"/>
    <cellStyle name="Uwaga 3 5 72" xfId="41913"/>
    <cellStyle name="Uwaga 3 5 73" xfId="41914"/>
    <cellStyle name="Uwaga 3 5 74" xfId="41915"/>
    <cellStyle name="Uwaga 3 5 8" xfId="41916"/>
    <cellStyle name="Uwaga 3 5 8 2" xfId="41917"/>
    <cellStyle name="Uwaga 3 5 9" xfId="41918"/>
    <cellStyle name="Uwaga 3 5 9 2" xfId="41919"/>
    <cellStyle name="Uwaga 3 50" xfId="41920"/>
    <cellStyle name="Uwaga 3 50 2" xfId="41921"/>
    <cellStyle name="Uwaga 3 51" xfId="41922"/>
    <cellStyle name="Uwaga 3 51 2" xfId="41923"/>
    <cellStyle name="Uwaga 3 52" xfId="41924"/>
    <cellStyle name="Uwaga 3 53" xfId="41925"/>
    <cellStyle name="Uwaga 3 54" xfId="41926"/>
    <cellStyle name="Uwaga 3 55" xfId="41927"/>
    <cellStyle name="Uwaga 3 56" xfId="41928"/>
    <cellStyle name="Uwaga 3 57" xfId="41929"/>
    <cellStyle name="Uwaga 3 58" xfId="41930"/>
    <cellStyle name="Uwaga 3 59" xfId="41931"/>
    <cellStyle name="Uwaga 3 6" xfId="41932"/>
    <cellStyle name="Uwaga 3 6 10" xfId="41933"/>
    <cellStyle name="Uwaga 3 6 11" xfId="41934"/>
    <cellStyle name="Uwaga 3 6 12" xfId="41935"/>
    <cellStyle name="Uwaga 3 6 13" xfId="41936"/>
    <cellStyle name="Uwaga 3 6 14" xfId="41937"/>
    <cellStyle name="Uwaga 3 6 15" xfId="41938"/>
    <cellStyle name="Uwaga 3 6 16" xfId="41939"/>
    <cellStyle name="Uwaga 3 6 17" xfId="41940"/>
    <cellStyle name="Uwaga 3 6 18" xfId="41941"/>
    <cellStyle name="Uwaga 3 6 19" xfId="41942"/>
    <cellStyle name="Uwaga 3 6 2" xfId="41943"/>
    <cellStyle name="Uwaga 3 6 3" xfId="41944"/>
    <cellStyle name="Uwaga 3 6 4" xfId="41945"/>
    <cellStyle name="Uwaga 3 6 5" xfId="41946"/>
    <cellStyle name="Uwaga 3 6 6" xfId="41947"/>
    <cellStyle name="Uwaga 3 6 7" xfId="41948"/>
    <cellStyle name="Uwaga 3 6 8" xfId="41949"/>
    <cellStyle name="Uwaga 3 6 9" xfId="41950"/>
    <cellStyle name="Uwaga 3 60" xfId="41951"/>
    <cellStyle name="Uwaga 3 61" xfId="41952"/>
    <cellStyle name="Uwaga 3 62" xfId="41953"/>
    <cellStyle name="Uwaga 3 63" xfId="41954"/>
    <cellStyle name="Uwaga 3 64" xfId="41955"/>
    <cellStyle name="Uwaga 3 65" xfId="41956"/>
    <cellStyle name="Uwaga 3 66" xfId="41957"/>
    <cellStyle name="Uwaga 3 67" xfId="41958"/>
    <cellStyle name="Uwaga 3 68" xfId="41959"/>
    <cellStyle name="Uwaga 3 69" xfId="41960"/>
    <cellStyle name="Uwaga 3 7" xfId="41961"/>
    <cellStyle name="Uwaga 3 7 10" xfId="41962"/>
    <cellStyle name="Uwaga 3 7 11" xfId="41963"/>
    <cellStyle name="Uwaga 3 7 12" xfId="41964"/>
    <cellStyle name="Uwaga 3 7 13" xfId="41965"/>
    <cellStyle name="Uwaga 3 7 14" xfId="41966"/>
    <cellStyle name="Uwaga 3 7 15" xfId="41967"/>
    <cellStyle name="Uwaga 3 7 16" xfId="41968"/>
    <cellStyle name="Uwaga 3 7 17" xfId="41969"/>
    <cellStyle name="Uwaga 3 7 18" xfId="41970"/>
    <cellStyle name="Uwaga 3 7 19" xfId="41971"/>
    <cellStyle name="Uwaga 3 7 2" xfId="41972"/>
    <cellStyle name="Uwaga 3 7 3" xfId="41973"/>
    <cellStyle name="Uwaga 3 7 4" xfId="41974"/>
    <cellStyle name="Uwaga 3 7 5" xfId="41975"/>
    <cellStyle name="Uwaga 3 7 6" xfId="41976"/>
    <cellStyle name="Uwaga 3 7 7" xfId="41977"/>
    <cellStyle name="Uwaga 3 7 8" xfId="41978"/>
    <cellStyle name="Uwaga 3 7 9" xfId="41979"/>
    <cellStyle name="Uwaga 3 70" xfId="41980"/>
    <cellStyle name="Uwaga 3 71" xfId="41981"/>
    <cellStyle name="Uwaga 3 72" xfId="41982"/>
    <cellStyle name="Uwaga 3 73" xfId="41983"/>
    <cellStyle name="Uwaga 3 74" xfId="41984"/>
    <cellStyle name="Uwaga 3 75" xfId="41985"/>
    <cellStyle name="Uwaga 3 76" xfId="41986"/>
    <cellStyle name="Uwaga 3 77" xfId="41987"/>
    <cellStyle name="Uwaga 3 78" xfId="41988"/>
    <cellStyle name="Uwaga 3 79" xfId="41989"/>
    <cellStyle name="Uwaga 3 8" xfId="41990"/>
    <cellStyle name="Uwaga 3 8 10" xfId="41991"/>
    <cellStyle name="Uwaga 3 8 11" xfId="41992"/>
    <cellStyle name="Uwaga 3 8 12" xfId="41993"/>
    <cellStyle name="Uwaga 3 8 13" xfId="41994"/>
    <cellStyle name="Uwaga 3 8 14" xfId="41995"/>
    <cellStyle name="Uwaga 3 8 15" xfId="41996"/>
    <cellStyle name="Uwaga 3 8 16" xfId="41997"/>
    <cellStyle name="Uwaga 3 8 17" xfId="41998"/>
    <cellStyle name="Uwaga 3 8 18" xfId="41999"/>
    <cellStyle name="Uwaga 3 8 19" xfId="42000"/>
    <cellStyle name="Uwaga 3 8 2" xfId="42001"/>
    <cellStyle name="Uwaga 3 8 3" xfId="42002"/>
    <cellStyle name="Uwaga 3 8 4" xfId="42003"/>
    <cellStyle name="Uwaga 3 8 5" xfId="42004"/>
    <cellStyle name="Uwaga 3 8 6" xfId="42005"/>
    <cellStyle name="Uwaga 3 8 7" xfId="42006"/>
    <cellStyle name="Uwaga 3 8 8" xfId="42007"/>
    <cellStyle name="Uwaga 3 8 9" xfId="42008"/>
    <cellStyle name="Uwaga 3 9" xfId="42009"/>
    <cellStyle name="Uwaga 3 9 10" xfId="42010"/>
    <cellStyle name="Uwaga 3 9 11" xfId="42011"/>
    <cellStyle name="Uwaga 3 9 12" xfId="42012"/>
    <cellStyle name="Uwaga 3 9 13" xfId="42013"/>
    <cellStyle name="Uwaga 3 9 14" xfId="42014"/>
    <cellStyle name="Uwaga 3 9 15" xfId="42015"/>
    <cellStyle name="Uwaga 3 9 16" xfId="42016"/>
    <cellStyle name="Uwaga 3 9 17" xfId="42017"/>
    <cellStyle name="Uwaga 3 9 18" xfId="42018"/>
    <cellStyle name="Uwaga 3 9 19" xfId="42019"/>
    <cellStyle name="Uwaga 3 9 2" xfId="42020"/>
    <cellStyle name="Uwaga 3 9 3" xfId="42021"/>
    <cellStyle name="Uwaga 3 9 4" xfId="42022"/>
    <cellStyle name="Uwaga 3 9 5" xfId="42023"/>
    <cellStyle name="Uwaga 3 9 6" xfId="42024"/>
    <cellStyle name="Uwaga 3 9 7" xfId="42025"/>
    <cellStyle name="Uwaga 3 9 8" xfId="42026"/>
    <cellStyle name="Uwaga 3 9 9" xfId="42027"/>
    <cellStyle name="Uwaga 30" xfId="42028"/>
    <cellStyle name="Uwaga 31" xfId="42029"/>
    <cellStyle name="Uwaga 32" xfId="42030"/>
    <cellStyle name="Uwaga 33" xfId="42031"/>
    <cellStyle name="Uwaga 33 2" xfId="42032"/>
    <cellStyle name="Uwaga 34" xfId="42033"/>
    <cellStyle name="Uwaga 34 2" xfId="42034"/>
    <cellStyle name="Uwaga 35" xfId="42035"/>
    <cellStyle name="Uwaga 35 2" xfId="42036"/>
    <cellStyle name="Uwaga 36" xfId="42037"/>
    <cellStyle name="Uwaga 36 2" xfId="42038"/>
    <cellStyle name="Uwaga 37" xfId="42039"/>
    <cellStyle name="Uwaga 37 2" xfId="42040"/>
    <cellStyle name="Uwaga 38" xfId="42041"/>
    <cellStyle name="Uwaga 38 2" xfId="42042"/>
    <cellStyle name="Uwaga 39" xfId="42043"/>
    <cellStyle name="Uwaga 39 2" xfId="42044"/>
    <cellStyle name="Uwaga 4" xfId="42045"/>
    <cellStyle name="Uwaga 4 10" xfId="42046"/>
    <cellStyle name="Uwaga 4 11" xfId="42047"/>
    <cellStyle name="Uwaga 4 12" xfId="42048"/>
    <cellStyle name="Uwaga 4 13" xfId="42049"/>
    <cellStyle name="Uwaga 4 14" xfId="42050"/>
    <cellStyle name="Uwaga 4 15" xfId="42051"/>
    <cellStyle name="Uwaga 4 16" xfId="42052"/>
    <cellStyle name="Uwaga 4 17" xfId="42053"/>
    <cellStyle name="Uwaga 4 18" xfId="42054"/>
    <cellStyle name="Uwaga 4 19" xfId="42055"/>
    <cellStyle name="Uwaga 4 2" xfId="42056"/>
    <cellStyle name="Uwaga 4 2 2" xfId="42057"/>
    <cellStyle name="Uwaga 4 20" xfId="42058"/>
    <cellStyle name="Uwaga 4 21" xfId="42059"/>
    <cellStyle name="Uwaga 4 22" xfId="42060"/>
    <cellStyle name="Uwaga 4 23" xfId="42061"/>
    <cellStyle name="Uwaga 4 3" xfId="42062"/>
    <cellStyle name="Uwaga 4 3 2" xfId="42063"/>
    <cellStyle name="Uwaga 4 4" xfId="42064"/>
    <cellStyle name="Uwaga 4 4 2" xfId="42065"/>
    <cellStyle name="Uwaga 4 5" xfId="42066"/>
    <cellStyle name="Uwaga 4 6" xfId="42067"/>
    <cellStyle name="Uwaga 4 7" xfId="42068"/>
    <cellStyle name="Uwaga 4 8" xfId="42069"/>
    <cellStyle name="Uwaga 4 9" xfId="42070"/>
    <cellStyle name="Uwaga 40" xfId="42071"/>
    <cellStyle name="Uwaga 40 2" xfId="42072"/>
    <cellStyle name="Uwaga 41" xfId="42073"/>
    <cellStyle name="Uwaga 41 2" xfId="42074"/>
    <cellStyle name="Uwaga 42" xfId="42075"/>
    <cellStyle name="Uwaga 42 2" xfId="42076"/>
    <cellStyle name="Uwaga 43" xfId="42077"/>
    <cellStyle name="Uwaga 43 2" xfId="42078"/>
    <cellStyle name="Uwaga 44" xfId="42079"/>
    <cellStyle name="Uwaga 44 2" xfId="42080"/>
    <cellStyle name="Uwaga 45" xfId="42081"/>
    <cellStyle name="Uwaga 45 2" xfId="42082"/>
    <cellStyle name="Uwaga 46" xfId="42083"/>
    <cellStyle name="Uwaga 46 2" xfId="42084"/>
    <cellStyle name="Uwaga 47" xfId="42085"/>
    <cellStyle name="Uwaga 47 2" xfId="42086"/>
    <cellStyle name="Uwaga 48" xfId="42087"/>
    <cellStyle name="Uwaga 48 2" xfId="42088"/>
    <cellStyle name="Uwaga 49" xfId="42089"/>
    <cellStyle name="Uwaga 49 2" xfId="42090"/>
    <cellStyle name="Uwaga 5" xfId="42091"/>
    <cellStyle name="Uwaga 5 2" xfId="42092"/>
    <cellStyle name="Uwaga 5 3" xfId="42093"/>
    <cellStyle name="Uwaga 5 4" xfId="42094"/>
    <cellStyle name="Uwaga 50" xfId="42095"/>
    <cellStyle name="Uwaga 50 2" xfId="42096"/>
    <cellStyle name="Uwaga 51" xfId="42097"/>
    <cellStyle name="Uwaga 51 2" xfId="42098"/>
    <cellStyle name="Uwaga 52" xfId="42099"/>
    <cellStyle name="Uwaga 52 2" xfId="42100"/>
    <cellStyle name="Uwaga 53" xfId="42101"/>
    <cellStyle name="Uwaga 53 2" xfId="42102"/>
    <cellStyle name="Uwaga 54" xfId="42103"/>
    <cellStyle name="Uwaga 54 2" xfId="42104"/>
    <cellStyle name="Uwaga 55" xfId="42105"/>
    <cellStyle name="Uwaga 55 2" xfId="42106"/>
    <cellStyle name="Uwaga 56" xfId="42107"/>
    <cellStyle name="Uwaga 56 2" xfId="42108"/>
    <cellStyle name="Uwaga 57" xfId="42109"/>
    <cellStyle name="Uwaga 57 2" xfId="42110"/>
    <cellStyle name="Uwaga 58" xfId="42111"/>
    <cellStyle name="Uwaga 58 2" xfId="42112"/>
    <cellStyle name="Uwaga 59" xfId="42113"/>
    <cellStyle name="Uwaga 59 2" xfId="42114"/>
    <cellStyle name="Uwaga 6" xfId="42115"/>
    <cellStyle name="Uwaga 6 2" xfId="42116"/>
    <cellStyle name="Uwaga 6 3" xfId="42117"/>
    <cellStyle name="Uwaga 6 4" xfId="42118"/>
    <cellStyle name="Uwaga 60" xfId="42119"/>
    <cellStyle name="Uwaga 60 2" xfId="42120"/>
    <cellStyle name="Uwaga 61" xfId="42121"/>
    <cellStyle name="Uwaga 61 2" xfId="42122"/>
    <cellStyle name="Uwaga 62" xfId="42123"/>
    <cellStyle name="Uwaga 62 2" xfId="42124"/>
    <cellStyle name="Uwaga 63" xfId="42125"/>
    <cellStyle name="Uwaga 63 2" xfId="42126"/>
    <cellStyle name="Uwaga 64" xfId="42127"/>
    <cellStyle name="Uwaga 64 2" xfId="42128"/>
    <cellStyle name="Uwaga 65" xfId="42129"/>
    <cellStyle name="Uwaga 65 2" xfId="42130"/>
    <cellStyle name="Uwaga 66" xfId="42131"/>
    <cellStyle name="Uwaga 66 2" xfId="42132"/>
    <cellStyle name="Uwaga 67" xfId="42133"/>
    <cellStyle name="Uwaga 67 2" xfId="42134"/>
    <cellStyle name="Uwaga 68" xfId="42135"/>
    <cellStyle name="Uwaga 68 2" xfId="42136"/>
    <cellStyle name="Uwaga 69" xfId="42137"/>
    <cellStyle name="Uwaga 69 2" xfId="42138"/>
    <cellStyle name="Uwaga 7" xfId="42139"/>
    <cellStyle name="Uwaga 7 2" xfId="42140"/>
    <cellStyle name="Uwaga 7 3" xfId="42141"/>
    <cellStyle name="Uwaga 7 4" xfId="42142"/>
    <cellStyle name="Uwaga 70" xfId="42143"/>
    <cellStyle name="Uwaga 70 2" xfId="42144"/>
    <cellStyle name="Uwaga 71" xfId="42145"/>
    <cellStyle name="Uwaga 71 2" xfId="42146"/>
    <cellStyle name="Uwaga 72" xfId="42147"/>
    <cellStyle name="Uwaga 72 2" xfId="42148"/>
    <cellStyle name="Uwaga 73" xfId="42149"/>
    <cellStyle name="Uwaga 73 2" xfId="42150"/>
    <cellStyle name="Uwaga 74" xfId="42151"/>
    <cellStyle name="Uwaga 74 2" xfId="42152"/>
    <cellStyle name="Uwaga 75" xfId="42153"/>
    <cellStyle name="Uwaga 75 2" xfId="42154"/>
    <cellStyle name="Uwaga 76" xfId="42155"/>
    <cellStyle name="Uwaga 76 2" xfId="42156"/>
    <cellStyle name="Uwaga 77" xfId="42157"/>
    <cellStyle name="Uwaga 77 2" xfId="42158"/>
    <cellStyle name="Uwaga 78" xfId="42159"/>
    <cellStyle name="Uwaga 78 2" xfId="42160"/>
    <cellStyle name="Uwaga 79" xfId="42161"/>
    <cellStyle name="Uwaga 79 2" xfId="42162"/>
    <cellStyle name="Uwaga 8" xfId="42163"/>
    <cellStyle name="Uwaga 8 2" xfId="42164"/>
    <cellStyle name="Uwaga 8 3" xfId="42165"/>
    <cellStyle name="Uwaga 80" xfId="42166"/>
    <cellStyle name="Uwaga 80 2" xfId="42167"/>
    <cellStyle name="Uwaga 81" xfId="42168"/>
    <cellStyle name="Uwaga 81 2" xfId="42169"/>
    <cellStyle name="Uwaga 82" xfId="42170"/>
    <cellStyle name="Uwaga 82 2" xfId="42171"/>
    <cellStyle name="Uwaga 83" xfId="42172"/>
    <cellStyle name="Uwaga 83 2" xfId="42173"/>
    <cellStyle name="Uwaga 84" xfId="42174"/>
    <cellStyle name="Uwaga 84 2" xfId="42175"/>
    <cellStyle name="Uwaga 85" xfId="42176"/>
    <cellStyle name="Uwaga 85 2" xfId="42177"/>
    <cellStyle name="Uwaga 86" xfId="42178"/>
    <cellStyle name="Uwaga 86 2" xfId="42179"/>
    <cellStyle name="Uwaga 87" xfId="42180"/>
    <cellStyle name="Uwaga 87 2" xfId="42181"/>
    <cellStyle name="Uwaga 88" xfId="42182"/>
    <cellStyle name="Uwaga 88 2" xfId="42183"/>
    <cellStyle name="Uwaga 89" xfId="42184"/>
    <cellStyle name="Uwaga 89 2" xfId="42185"/>
    <cellStyle name="Uwaga 9" xfId="42186"/>
    <cellStyle name="Uwaga 90" xfId="42187"/>
    <cellStyle name="Uwaga 90 2" xfId="42188"/>
    <cellStyle name="Uwaga 91" xfId="42189"/>
    <cellStyle name="Uwaga 91 2" xfId="42190"/>
    <cellStyle name="Uwaga 92" xfId="42191"/>
    <cellStyle name="Uwaga 92 2" xfId="42192"/>
    <cellStyle name="Uwaga 93" xfId="42193"/>
    <cellStyle name="Uwaga 93 2" xfId="42194"/>
    <cellStyle name="Uwaga 94" xfId="42195"/>
    <cellStyle name="Uwaga 94 2" xfId="42196"/>
    <cellStyle name="Uwaga 95" xfId="42197"/>
    <cellStyle name="Uwaga 95 2" xfId="42198"/>
    <cellStyle name="Uwaga 96" xfId="42199"/>
    <cellStyle name="Uwaga 96 2" xfId="42200"/>
    <cellStyle name="Uwaga 97" xfId="42201"/>
    <cellStyle name="Uwaga 97 2" xfId="42202"/>
    <cellStyle name="Uwaga 98" xfId="42203"/>
    <cellStyle name="Uwaga 98 2" xfId="42204"/>
    <cellStyle name="Uwaga 99" xfId="42205"/>
    <cellStyle name="Uwaga 99 2" xfId="42206"/>
    <cellStyle name="Valuta - Style2" xfId="42207"/>
    <cellStyle name="Valuta (0)" xfId="42208"/>
    <cellStyle name="Valuta_Ark1" xfId="42209"/>
    <cellStyle name="Währung [0]_Bal sheet - Liab. IHSW" xfId="42210"/>
    <cellStyle name="Währung_Bal sheet - Liab. IHSW" xfId="42211"/>
    <cellStyle name="Walutowy 2" xfId="42212"/>
    <cellStyle name="Walutowy 2 10" xfId="42213"/>
    <cellStyle name="Walutowy 2 11" xfId="42214"/>
    <cellStyle name="Walutowy 2 12" xfId="42215"/>
    <cellStyle name="Walutowy 2 13" xfId="42216"/>
    <cellStyle name="Walutowy 2 14" xfId="42217"/>
    <cellStyle name="Walutowy 2 15" xfId="42218"/>
    <cellStyle name="Walutowy 2 16" xfId="42219"/>
    <cellStyle name="Walutowy 2 17" xfId="42220"/>
    <cellStyle name="Walutowy 2 18" xfId="42221"/>
    <cellStyle name="Walutowy 2 2" xfId="42222"/>
    <cellStyle name="Walutowy 2 2 2" xfId="42223"/>
    <cellStyle name="Walutowy 2 2 3" xfId="42224"/>
    <cellStyle name="Walutowy 2 2 4" xfId="42225"/>
    <cellStyle name="Walutowy 2 2 5" xfId="42226"/>
    <cellStyle name="Walutowy 2 2 6" xfId="42227"/>
    <cellStyle name="Walutowy 2 2 7" xfId="42228"/>
    <cellStyle name="Walutowy 2 3" xfId="42229"/>
    <cellStyle name="Walutowy 2 3 2" xfId="42230"/>
    <cellStyle name="Walutowy 2 3 3" xfId="42231"/>
    <cellStyle name="Walutowy 2 3 4" xfId="42232"/>
    <cellStyle name="Walutowy 2 4" xfId="42233"/>
    <cellStyle name="Walutowy 2 5" xfId="42234"/>
    <cellStyle name="Walutowy 2 6" xfId="42235"/>
    <cellStyle name="Walutowy 2 7" xfId="42236"/>
    <cellStyle name="Walutowy 2 8" xfId="42237"/>
    <cellStyle name="Walutowy 2 9" xfId="42238"/>
    <cellStyle name="Walutowy 3" xfId="42239"/>
    <cellStyle name="Walutowy 3 10" xfId="42240"/>
    <cellStyle name="Walutowy 3 11" xfId="42241"/>
    <cellStyle name="Walutowy 3 12" xfId="42242"/>
    <cellStyle name="Walutowy 3 13" xfId="42243"/>
    <cellStyle name="Walutowy 3 14" xfId="42244"/>
    <cellStyle name="Walutowy 3 15" xfId="42245"/>
    <cellStyle name="Walutowy 3 16" xfId="42246"/>
    <cellStyle name="Walutowy 3 17" xfId="42247"/>
    <cellStyle name="Walutowy 3 18" xfId="42248"/>
    <cellStyle name="Walutowy 3 19" xfId="42249"/>
    <cellStyle name="Walutowy 3 2" xfId="42250"/>
    <cellStyle name="Walutowy 3 20" xfId="42251"/>
    <cellStyle name="Walutowy 3 3" xfId="42252"/>
    <cellStyle name="Walutowy 3 4" xfId="42253"/>
    <cellStyle name="Walutowy 3 5" xfId="42254"/>
    <cellStyle name="Walutowy 3 6" xfId="42255"/>
    <cellStyle name="Walutowy 3 7" xfId="42256"/>
    <cellStyle name="Walutowy 3 8" xfId="42257"/>
    <cellStyle name="Walutowy 3 9" xfId="42258"/>
    <cellStyle name="Walutowy 4" xfId="42259"/>
    <cellStyle name="Walutowy 5" xfId="42260"/>
    <cellStyle name="Złe 2" xfId="42261"/>
    <cellStyle name="Złe 2 10" xfId="42262"/>
    <cellStyle name="Złe 2 10 10" xfId="42263"/>
    <cellStyle name="Złe 2 10 11" xfId="42264"/>
    <cellStyle name="Złe 2 10 12" xfId="42265"/>
    <cellStyle name="Złe 2 10 13" xfId="42266"/>
    <cellStyle name="Złe 2 10 14" xfId="42267"/>
    <cellStyle name="Złe 2 10 15" xfId="42268"/>
    <cellStyle name="Złe 2 10 16" xfId="42269"/>
    <cellStyle name="Złe 2 10 17" xfId="42270"/>
    <cellStyle name="Złe 2 10 18" xfId="42271"/>
    <cellStyle name="Złe 2 10 19" xfId="42272"/>
    <cellStyle name="Złe 2 10 2" xfId="42273"/>
    <cellStyle name="Złe 2 10 3" xfId="42274"/>
    <cellStyle name="Złe 2 10 4" xfId="42275"/>
    <cellStyle name="Złe 2 10 5" xfId="42276"/>
    <cellStyle name="Złe 2 10 6" xfId="42277"/>
    <cellStyle name="Złe 2 10 7" xfId="42278"/>
    <cellStyle name="Złe 2 10 8" xfId="42279"/>
    <cellStyle name="Złe 2 10 9" xfId="42280"/>
    <cellStyle name="Złe 2 11" xfId="42281"/>
    <cellStyle name="Złe 2 11 10" xfId="42282"/>
    <cellStyle name="Złe 2 11 11" xfId="42283"/>
    <cellStyle name="Złe 2 11 12" xfId="42284"/>
    <cellStyle name="Złe 2 11 13" xfId="42285"/>
    <cellStyle name="Złe 2 11 14" xfId="42286"/>
    <cellStyle name="Złe 2 11 15" xfId="42287"/>
    <cellStyle name="Złe 2 11 16" xfId="42288"/>
    <cellStyle name="Złe 2 11 17" xfId="42289"/>
    <cellStyle name="Złe 2 11 18" xfId="42290"/>
    <cellStyle name="Złe 2 11 19" xfId="42291"/>
    <cellStyle name="Złe 2 11 2" xfId="42292"/>
    <cellStyle name="Złe 2 11 3" xfId="42293"/>
    <cellStyle name="Złe 2 11 4" xfId="42294"/>
    <cellStyle name="Złe 2 11 5" xfId="42295"/>
    <cellStyle name="Złe 2 11 6" xfId="42296"/>
    <cellStyle name="Złe 2 11 7" xfId="42297"/>
    <cellStyle name="Złe 2 11 8" xfId="42298"/>
    <cellStyle name="Złe 2 11 9" xfId="42299"/>
    <cellStyle name="Złe 2 12" xfId="42300"/>
    <cellStyle name="Złe 2 12 10" xfId="42301"/>
    <cellStyle name="Złe 2 12 11" xfId="42302"/>
    <cellStyle name="Złe 2 12 12" xfId="42303"/>
    <cellStyle name="Złe 2 12 13" xfId="42304"/>
    <cellStyle name="Złe 2 12 14" xfId="42305"/>
    <cellStyle name="Złe 2 12 15" xfId="42306"/>
    <cellStyle name="Złe 2 12 16" xfId="42307"/>
    <cellStyle name="Złe 2 12 17" xfId="42308"/>
    <cellStyle name="Złe 2 12 18" xfId="42309"/>
    <cellStyle name="Złe 2 12 19" xfId="42310"/>
    <cellStyle name="Złe 2 12 2" xfId="42311"/>
    <cellStyle name="Złe 2 12 3" xfId="42312"/>
    <cellStyle name="Złe 2 12 4" xfId="42313"/>
    <cellStyle name="Złe 2 12 5" xfId="42314"/>
    <cellStyle name="Złe 2 12 6" xfId="42315"/>
    <cellStyle name="Złe 2 12 7" xfId="42316"/>
    <cellStyle name="Złe 2 12 8" xfId="42317"/>
    <cellStyle name="Złe 2 12 9" xfId="42318"/>
    <cellStyle name="Złe 2 13" xfId="42319"/>
    <cellStyle name="Złe 2 13 10" xfId="42320"/>
    <cellStyle name="Złe 2 13 11" xfId="42321"/>
    <cellStyle name="Złe 2 13 12" xfId="42322"/>
    <cellStyle name="Złe 2 13 13" xfId="42323"/>
    <cellStyle name="Złe 2 13 14" xfId="42324"/>
    <cellStyle name="Złe 2 13 15" xfId="42325"/>
    <cellStyle name="Złe 2 13 16" xfId="42326"/>
    <cellStyle name="Złe 2 13 17" xfId="42327"/>
    <cellStyle name="Złe 2 13 18" xfId="42328"/>
    <cellStyle name="Złe 2 13 19" xfId="42329"/>
    <cellStyle name="Złe 2 13 2" xfId="42330"/>
    <cellStyle name="Złe 2 13 3" xfId="42331"/>
    <cellStyle name="Złe 2 13 4" xfId="42332"/>
    <cellStyle name="Złe 2 13 5" xfId="42333"/>
    <cellStyle name="Złe 2 13 6" xfId="42334"/>
    <cellStyle name="Złe 2 13 7" xfId="42335"/>
    <cellStyle name="Złe 2 13 8" xfId="42336"/>
    <cellStyle name="Złe 2 13 9" xfId="42337"/>
    <cellStyle name="Złe 2 14" xfId="42338"/>
    <cellStyle name="Złe 2 14 10" xfId="42339"/>
    <cellStyle name="Złe 2 14 11" xfId="42340"/>
    <cellStyle name="Złe 2 14 12" xfId="42341"/>
    <cellStyle name="Złe 2 14 13" xfId="42342"/>
    <cellStyle name="Złe 2 14 14" xfId="42343"/>
    <cellStyle name="Złe 2 14 15" xfId="42344"/>
    <cellStyle name="Złe 2 14 16" xfId="42345"/>
    <cellStyle name="Złe 2 14 17" xfId="42346"/>
    <cellStyle name="Złe 2 14 18" xfId="42347"/>
    <cellStyle name="Złe 2 14 19" xfId="42348"/>
    <cellStyle name="Złe 2 14 2" xfId="42349"/>
    <cellStyle name="Złe 2 14 3" xfId="42350"/>
    <cellStyle name="Złe 2 14 4" xfId="42351"/>
    <cellStyle name="Złe 2 14 5" xfId="42352"/>
    <cellStyle name="Złe 2 14 6" xfId="42353"/>
    <cellStyle name="Złe 2 14 7" xfId="42354"/>
    <cellStyle name="Złe 2 14 8" xfId="42355"/>
    <cellStyle name="Złe 2 14 9" xfId="42356"/>
    <cellStyle name="Złe 2 15" xfId="42357"/>
    <cellStyle name="Złe 2 15 10" xfId="42358"/>
    <cellStyle name="Złe 2 15 11" xfId="42359"/>
    <cellStyle name="Złe 2 15 12" xfId="42360"/>
    <cellStyle name="Złe 2 15 13" xfId="42361"/>
    <cellStyle name="Złe 2 15 14" xfId="42362"/>
    <cellStyle name="Złe 2 15 15" xfId="42363"/>
    <cellStyle name="Złe 2 15 16" xfId="42364"/>
    <cellStyle name="Złe 2 15 17" xfId="42365"/>
    <cellStyle name="Złe 2 15 18" xfId="42366"/>
    <cellStyle name="Złe 2 15 19" xfId="42367"/>
    <cellStyle name="Złe 2 15 2" xfId="42368"/>
    <cellStyle name="Złe 2 15 3" xfId="42369"/>
    <cellStyle name="Złe 2 15 4" xfId="42370"/>
    <cellStyle name="Złe 2 15 5" xfId="42371"/>
    <cellStyle name="Złe 2 15 6" xfId="42372"/>
    <cellStyle name="Złe 2 15 7" xfId="42373"/>
    <cellStyle name="Złe 2 15 8" xfId="42374"/>
    <cellStyle name="Złe 2 15 9" xfId="42375"/>
    <cellStyle name="Złe 2 16" xfId="42376"/>
    <cellStyle name="Złe 2 16 10" xfId="42377"/>
    <cellStyle name="Złe 2 16 11" xfId="42378"/>
    <cellStyle name="Złe 2 16 12" xfId="42379"/>
    <cellStyle name="Złe 2 16 13" xfId="42380"/>
    <cellStyle name="Złe 2 16 14" xfId="42381"/>
    <cellStyle name="Złe 2 16 15" xfId="42382"/>
    <cellStyle name="Złe 2 16 16" xfId="42383"/>
    <cellStyle name="Złe 2 16 17" xfId="42384"/>
    <cellStyle name="Złe 2 16 18" xfId="42385"/>
    <cellStyle name="Złe 2 16 19" xfId="42386"/>
    <cellStyle name="Złe 2 16 2" xfId="42387"/>
    <cellStyle name="Złe 2 16 3" xfId="42388"/>
    <cellStyle name="Złe 2 16 4" xfId="42389"/>
    <cellStyle name="Złe 2 16 5" xfId="42390"/>
    <cellStyle name="Złe 2 16 6" xfId="42391"/>
    <cellStyle name="Złe 2 16 7" xfId="42392"/>
    <cellStyle name="Złe 2 16 8" xfId="42393"/>
    <cellStyle name="Złe 2 16 9" xfId="42394"/>
    <cellStyle name="Złe 2 17" xfId="42395"/>
    <cellStyle name="Złe 2 17 10" xfId="42396"/>
    <cellStyle name="Złe 2 17 11" xfId="42397"/>
    <cellStyle name="Złe 2 17 12" xfId="42398"/>
    <cellStyle name="Złe 2 17 13" xfId="42399"/>
    <cellStyle name="Złe 2 17 14" xfId="42400"/>
    <cellStyle name="Złe 2 17 15" xfId="42401"/>
    <cellStyle name="Złe 2 17 16" xfId="42402"/>
    <cellStyle name="Złe 2 17 17" xfId="42403"/>
    <cellStyle name="Złe 2 17 18" xfId="42404"/>
    <cellStyle name="Złe 2 17 19" xfId="42405"/>
    <cellStyle name="Złe 2 17 2" xfId="42406"/>
    <cellStyle name="Złe 2 17 3" xfId="42407"/>
    <cellStyle name="Złe 2 17 4" xfId="42408"/>
    <cellStyle name="Złe 2 17 5" xfId="42409"/>
    <cellStyle name="Złe 2 17 6" xfId="42410"/>
    <cellStyle name="Złe 2 17 7" xfId="42411"/>
    <cellStyle name="Złe 2 17 8" xfId="42412"/>
    <cellStyle name="Złe 2 17 9" xfId="42413"/>
    <cellStyle name="Złe 2 18" xfId="42414"/>
    <cellStyle name="Złe 2 18 10" xfId="42415"/>
    <cellStyle name="Złe 2 18 11" xfId="42416"/>
    <cellStyle name="Złe 2 18 12" xfId="42417"/>
    <cellStyle name="Złe 2 18 13" xfId="42418"/>
    <cellStyle name="Złe 2 18 14" xfId="42419"/>
    <cellStyle name="Złe 2 18 15" xfId="42420"/>
    <cellStyle name="Złe 2 18 16" xfId="42421"/>
    <cellStyle name="Złe 2 18 17" xfId="42422"/>
    <cellStyle name="Złe 2 18 18" xfId="42423"/>
    <cellStyle name="Złe 2 18 19" xfId="42424"/>
    <cellStyle name="Złe 2 18 2" xfId="42425"/>
    <cellStyle name="Złe 2 18 3" xfId="42426"/>
    <cellStyle name="Złe 2 18 4" xfId="42427"/>
    <cellStyle name="Złe 2 18 5" xfId="42428"/>
    <cellStyle name="Złe 2 18 6" xfId="42429"/>
    <cellStyle name="Złe 2 18 7" xfId="42430"/>
    <cellStyle name="Złe 2 18 8" xfId="42431"/>
    <cellStyle name="Złe 2 18 9" xfId="42432"/>
    <cellStyle name="Złe 2 19" xfId="42433"/>
    <cellStyle name="Złe 2 19 10" xfId="42434"/>
    <cellStyle name="Złe 2 19 11" xfId="42435"/>
    <cellStyle name="Złe 2 19 12" xfId="42436"/>
    <cellStyle name="Złe 2 19 13" xfId="42437"/>
    <cellStyle name="Złe 2 19 14" xfId="42438"/>
    <cellStyle name="Złe 2 19 15" xfId="42439"/>
    <cellStyle name="Złe 2 19 16" xfId="42440"/>
    <cellStyle name="Złe 2 19 17" xfId="42441"/>
    <cellStyle name="Złe 2 19 18" xfId="42442"/>
    <cellStyle name="Złe 2 19 19" xfId="42443"/>
    <cellStyle name="Złe 2 19 2" xfId="42444"/>
    <cellStyle name="Złe 2 19 3" xfId="42445"/>
    <cellStyle name="Złe 2 19 4" xfId="42446"/>
    <cellStyle name="Złe 2 19 5" xfId="42447"/>
    <cellStyle name="Złe 2 19 6" xfId="42448"/>
    <cellStyle name="Złe 2 19 7" xfId="42449"/>
    <cellStyle name="Złe 2 19 8" xfId="42450"/>
    <cellStyle name="Złe 2 19 9" xfId="42451"/>
    <cellStyle name="Złe 2 2" xfId="42452"/>
    <cellStyle name="Złe 2 2 10" xfId="42453"/>
    <cellStyle name="Złe 2 2 11" xfId="42454"/>
    <cellStyle name="Złe 2 2 12" xfId="42455"/>
    <cellStyle name="Złe 2 2 13" xfId="42456"/>
    <cellStyle name="Złe 2 2 14" xfId="42457"/>
    <cellStyle name="Złe 2 2 15" xfId="42458"/>
    <cellStyle name="Złe 2 2 16" xfId="42459"/>
    <cellStyle name="Złe 2 2 17" xfId="42460"/>
    <cellStyle name="Złe 2 2 18" xfId="42461"/>
    <cellStyle name="Złe 2 2 19" xfId="42462"/>
    <cellStyle name="Złe 2 2 2" xfId="42463"/>
    <cellStyle name="Złe 2 2 20" xfId="42464"/>
    <cellStyle name="Złe 2 2 3" xfId="42465"/>
    <cellStyle name="Złe 2 2 4" xfId="42466"/>
    <cellStyle name="Złe 2 2 5" xfId="42467"/>
    <cellStyle name="Złe 2 2 6" xfId="42468"/>
    <cellStyle name="Złe 2 2 7" xfId="42469"/>
    <cellStyle name="Złe 2 2 8" xfId="42470"/>
    <cellStyle name="Złe 2 2 9" xfId="42471"/>
    <cellStyle name="Złe 2 20" xfId="42472"/>
    <cellStyle name="Złe 2 20 10" xfId="42473"/>
    <cellStyle name="Złe 2 20 11" xfId="42474"/>
    <cellStyle name="Złe 2 20 12" xfId="42475"/>
    <cellStyle name="Złe 2 20 13" xfId="42476"/>
    <cellStyle name="Złe 2 20 14" xfId="42477"/>
    <cellStyle name="Złe 2 20 15" xfId="42478"/>
    <cellStyle name="Złe 2 20 16" xfId="42479"/>
    <cellStyle name="Złe 2 20 17" xfId="42480"/>
    <cellStyle name="Złe 2 20 18" xfId="42481"/>
    <cellStyle name="Złe 2 20 19" xfId="42482"/>
    <cellStyle name="Złe 2 20 2" xfId="42483"/>
    <cellStyle name="Złe 2 20 3" xfId="42484"/>
    <cellStyle name="Złe 2 20 4" xfId="42485"/>
    <cellStyle name="Złe 2 20 5" xfId="42486"/>
    <cellStyle name="Złe 2 20 6" xfId="42487"/>
    <cellStyle name="Złe 2 20 7" xfId="42488"/>
    <cellStyle name="Złe 2 20 8" xfId="42489"/>
    <cellStyle name="Złe 2 20 9" xfId="42490"/>
    <cellStyle name="Złe 2 21" xfId="42491"/>
    <cellStyle name="Złe 2 21 10" xfId="42492"/>
    <cellStyle name="Złe 2 21 11" xfId="42493"/>
    <cellStyle name="Złe 2 21 12" xfId="42494"/>
    <cellStyle name="Złe 2 21 13" xfId="42495"/>
    <cellStyle name="Złe 2 21 14" xfId="42496"/>
    <cellStyle name="Złe 2 21 15" xfId="42497"/>
    <cellStyle name="Złe 2 21 16" xfId="42498"/>
    <cellStyle name="Złe 2 21 17" xfId="42499"/>
    <cellStyle name="Złe 2 21 18" xfId="42500"/>
    <cellStyle name="Złe 2 21 19" xfId="42501"/>
    <cellStyle name="Złe 2 21 2" xfId="42502"/>
    <cellStyle name="Złe 2 21 3" xfId="42503"/>
    <cellStyle name="Złe 2 21 4" xfId="42504"/>
    <cellStyle name="Złe 2 21 5" xfId="42505"/>
    <cellStyle name="Złe 2 21 6" xfId="42506"/>
    <cellStyle name="Złe 2 21 7" xfId="42507"/>
    <cellStyle name="Złe 2 21 8" xfId="42508"/>
    <cellStyle name="Złe 2 21 9" xfId="42509"/>
    <cellStyle name="Złe 2 22" xfId="42510"/>
    <cellStyle name="Złe 2 22 10" xfId="42511"/>
    <cellStyle name="Złe 2 22 11" xfId="42512"/>
    <cellStyle name="Złe 2 22 12" xfId="42513"/>
    <cellStyle name="Złe 2 22 13" xfId="42514"/>
    <cellStyle name="Złe 2 22 14" xfId="42515"/>
    <cellStyle name="Złe 2 22 15" xfId="42516"/>
    <cellStyle name="Złe 2 22 16" xfId="42517"/>
    <cellStyle name="Złe 2 22 17" xfId="42518"/>
    <cellStyle name="Złe 2 22 18" xfId="42519"/>
    <cellStyle name="Złe 2 22 19" xfId="42520"/>
    <cellStyle name="Złe 2 22 2" xfId="42521"/>
    <cellStyle name="Złe 2 22 3" xfId="42522"/>
    <cellStyle name="Złe 2 22 4" xfId="42523"/>
    <cellStyle name="Złe 2 22 5" xfId="42524"/>
    <cellStyle name="Złe 2 22 6" xfId="42525"/>
    <cellStyle name="Złe 2 22 7" xfId="42526"/>
    <cellStyle name="Złe 2 22 8" xfId="42527"/>
    <cellStyle name="Złe 2 22 9" xfId="42528"/>
    <cellStyle name="Złe 2 23" xfId="42529"/>
    <cellStyle name="Złe 2 23 10" xfId="42530"/>
    <cellStyle name="Złe 2 23 11" xfId="42531"/>
    <cellStyle name="Złe 2 23 12" xfId="42532"/>
    <cellStyle name="Złe 2 23 13" xfId="42533"/>
    <cellStyle name="Złe 2 23 14" xfId="42534"/>
    <cellStyle name="Złe 2 23 15" xfId="42535"/>
    <cellStyle name="Złe 2 23 16" xfId="42536"/>
    <cellStyle name="Złe 2 23 17" xfId="42537"/>
    <cellStyle name="Złe 2 23 18" xfId="42538"/>
    <cellStyle name="Złe 2 23 19" xfId="42539"/>
    <cellStyle name="Złe 2 23 2" xfId="42540"/>
    <cellStyle name="Złe 2 23 3" xfId="42541"/>
    <cellStyle name="Złe 2 23 4" xfId="42542"/>
    <cellStyle name="Złe 2 23 5" xfId="42543"/>
    <cellStyle name="Złe 2 23 6" xfId="42544"/>
    <cellStyle name="Złe 2 23 7" xfId="42545"/>
    <cellStyle name="Złe 2 23 8" xfId="42546"/>
    <cellStyle name="Złe 2 23 9" xfId="42547"/>
    <cellStyle name="Złe 2 24" xfId="42548"/>
    <cellStyle name="Złe 2 24 10" xfId="42549"/>
    <cellStyle name="Złe 2 24 11" xfId="42550"/>
    <cellStyle name="Złe 2 24 12" xfId="42551"/>
    <cellStyle name="Złe 2 24 13" xfId="42552"/>
    <cellStyle name="Złe 2 24 14" xfId="42553"/>
    <cellStyle name="Złe 2 24 15" xfId="42554"/>
    <cellStyle name="Złe 2 24 16" xfId="42555"/>
    <cellStyle name="Złe 2 24 17" xfId="42556"/>
    <cellStyle name="Złe 2 24 18" xfId="42557"/>
    <cellStyle name="Złe 2 24 19" xfId="42558"/>
    <cellStyle name="Złe 2 24 2" xfId="42559"/>
    <cellStyle name="Złe 2 24 3" xfId="42560"/>
    <cellStyle name="Złe 2 24 4" xfId="42561"/>
    <cellStyle name="Złe 2 24 5" xfId="42562"/>
    <cellStyle name="Złe 2 24 6" xfId="42563"/>
    <cellStyle name="Złe 2 24 7" xfId="42564"/>
    <cellStyle name="Złe 2 24 8" xfId="42565"/>
    <cellStyle name="Złe 2 24 9" xfId="42566"/>
    <cellStyle name="Złe 2 25" xfId="42567"/>
    <cellStyle name="Złe 2 25 10" xfId="42568"/>
    <cellStyle name="Złe 2 25 11" xfId="42569"/>
    <cellStyle name="Złe 2 25 12" xfId="42570"/>
    <cellStyle name="Złe 2 25 13" xfId="42571"/>
    <cellStyle name="Złe 2 25 14" xfId="42572"/>
    <cellStyle name="Złe 2 25 15" xfId="42573"/>
    <cellStyle name="Złe 2 25 16" xfId="42574"/>
    <cellStyle name="Złe 2 25 17" xfId="42575"/>
    <cellStyle name="Złe 2 25 18" xfId="42576"/>
    <cellStyle name="Złe 2 25 19" xfId="42577"/>
    <cellStyle name="Złe 2 25 2" xfId="42578"/>
    <cellStyle name="Złe 2 25 3" xfId="42579"/>
    <cellStyle name="Złe 2 25 4" xfId="42580"/>
    <cellStyle name="Złe 2 25 5" xfId="42581"/>
    <cellStyle name="Złe 2 25 6" xfId="42582"/>
    <cellStyle name="Złe 2 25 7" xfId="42583"/>
    <cellStyle name="Złe 2 25 8" xfId="42584"/>
    <cellStyle name="Złe 2 25 9" xfId="42585"/>
    <cellStyle name="Złe 2 26" xfId="42586"/>
    <cellStyle name="Złe 2 26 10" xfId="42587"/>
    <cellStyle name="Złe 2 26 11" xfId="42588"/>
    <cellStyle name="Złe 2 26 12" xfId="42589"/>
    <cellStyle name="Złe 2 26 13" xfId="42590"/>
    <cellStyle name="Złe 2 26 14" xfId="42591"/>
    <cellStyle name="Złe 2 26 15" xfId="42592"/>
    <cellStyle name="Złe 2 26 16" xfId="42593"/>
    <cellStyle name="Złe 2 26 17" xfId="42594"/>
    <cellStyle name="Złe 2 26 18" xfId="42595"/>
    <cellStyle name="Złe 2 26 19" xfId="42596"/>
    <cellStyle name="Złe 2 26 2" xfId="42597"/>
    <cellStyle name="Złe 2 26 3" xfId="42598"/>
    <cellStyle name="Złe 2 26 4" xfId="42599"/>
    <cellStyle name="Złe 2 26 5" xfId="42600"/>
    <cellStyle name="Złe 2 26 6" xfId="42601"/>
    <cellStyle name="Złe 2 26 7" xfId="42602"/>
    <cellStyle name="Złe 2 26 8" xfId="42603"/>
    <cellStyle name="Złe 2 26 9" xfId="42604"/>
    <cellStyle name="Złe 2 27" xfId="42605"/>
    <cellStyle name="Złe 2 27 10" xfId="42606"/>
    <cellStyle name="Złe 2 27 11" xfId="42607"/>
    <cellStyle name="Złe 2 27 12" xfId="42608"/>
    <cellStyle name="Złe 2 27 13" xfId="42609"/>
    <cellStyle name="Złe 2 27 14" xfId="42610"/>
    <cellStyle name="Złe 2 27 15" xfId="42611"/>
    <cellStyle name="Złe 2 27 16" xfId="42612"/>
    <cellStyle name="Złe 2 27 17" xfId="42613"/>
    <cellStyle name="Złe 2 27 18" xfId="42614"/>
    <cellStyle name="Złe 2 27 19" xfId="42615"/>
    <cellStyle name="Złe 2 27 2" xfId="42616"/>
    <cellStyle name="Złe 2 27 3" xfId="42617"/>
    <cellStyle name="Złe 2 27 4" xfId="42618"/>
    <cellStyle name="Złe 2 27 5" xfId="42619"/>
    <cellStyle name="Złe 2 27 6" xfId="42620"/>
    <cellStyle name="Złe 2 27 7" xfId="42621"/>
    <cellStyle name="Złe 2 27 8" xfId="42622"/>
    <cellStyle name="Złe 2 27 9" xfId="42623"/>
    <cellStyle name="Złe 2 28" xfId="42624"/>
    <cellStyle name="Złe 2 28 10" xfId="42625"/>
    <cellStyle name="Złe 2 28 11" xfId="42626"/>
    <cellStyle name="Złe 2 28 12" xfId="42627"/>
    <cellStyle name="Złe 2 28 13" xfId="42628"/>
    <cellStyle name="Złe 2 28 14" xfId="42629"/>
    <cellStyle name="Złe 2 28 15" xfId="42630"/>
    <cellStyle name="Złe 2 28 16" xfId="42631"/>
    <cellStyle name="Złe 2 28 17" xfId="42632"/>
    <cellStyle name="Złe 2 28 18" xfId="42633"/>
    <cellStyle name="Złe 2 28 19" xfId="42634"/>
    <cellStyle name="Złe 2 28 2" xfId="42635"/>
    <cellStyle name="Złe 2 28 3" xfId="42636"/>
    <cellStyle name="Złe 2 28 4" xfId="42637"/>
    <cellStyle name="Złe 2 28 5" xfId="42638"/>
    <cellStyle name="Złe 2 28 6" xfId="42639"/>
    <cellStyle name="Złe 2 28 7" xfId="42640"/>
    <cellStyle name="Złe 2 28 8" xfId="42641"/>
    <cellStyle name="Złe 2 28 9" xfId="42642"/>
    <cellStyle name="Złe 2 29" xfId="42643"/>
    <cellStyle name="Złe 2 29 2" xfId="42644"/>
    <cellStyle name="Złe 2 3" xfId="42645"/>
    <cellStyle name="Złe 2 3 10" xfId="42646"/>
    <cellStyle name="Złe 2 3 11" xfId="42647"/>
    <cellStyle name="Złe 2 3 12" xfId="42648"/>
    <cellStyle name="Złe 2 3 13" xfId="42649"/>
    <cellStyle name="Złe 2 3 14" xfId="42650"/>
    <cellStyle name="Złe 2 3 15" xfId="42651"/>
    <cellStyle name="Złe 2 3 16" xfId="42652"/>
    <cellStyle name="Złe 2 3 17" xfId="42653"/>
    <cellStyle name="Złe 2 3 18" xfId="42654"/>
    <cellStyle name="Złe 2 3 19" xfId="42655"/>
    <cellStyle name="Złe 2 3 2" xfId="42656"/>
    <cellStyle name="Złe 2 3 3" xfId="42657"/>
    <cellStyle name="Złe 2 3 4" xfId="42658"/>
    <cellStyle name="Złe 2 3 5" xfId="42659"/>
    <cellStyle name="Złe 2 3 6" xfId="42660"/>
    <cellStyle name="Złe 2 3 7" xfId="42661"/>
    <cellStyle name="Złe 2 3 8" xfId="42662"/>
    <cellStyle name="Złe 2 3 9" xfId="42663"/>
    <cellStyle name="Złe 2 30" xfId="42664"/>
    <cellStyle name="Złe 2 30 2" xfId="42665"/>
    <cellStyle name="Złe 2 31" xfId="42666"/>
    <cellStyle name="Złe 2 31 2" xfId="42667"/>
    <cellStyle name="Złe 2 32" xfId="42668"/>
    <cellStyle name="Złe 2 32 2" xfId="42669"/>
    <cellStyle name="Złe 2 33" xfId="42670"/>
    <cellStyle name="Złe 2 34" xfId="42671"/>
    <cellStyle name="Złe 2 35" xfId="42672"/>
    <cellStyle name="Złe 2 36" xfId="42673"/>
    <cellStyle name="Złe 2 37" xfId="42674"/>
    <cellStyle name="Złe 2 38" xfId="42675"/>
    <cellStyle name="Złe 2 39" xfId="42676"/>
    <cellStyle name="Złe 2 4" xfId="42677"/>
    <cellStyle name="Złe 2 4 10" xfId="42678"/>
    <cellStyle name="Złe 2 4 11" xfId="42679"/>
    <cellStyle name="Złe 2 4 12" xfId="42680"/>
    <cellStyle name="Złe 2 4 13" xfId="42681"/>
    <cellStyle name="Złe 2 4 14" xfId="42682"/>
    <cellStyle name="Złe 2 4 15" xfId="42683"/>
    <cellStyle name="Złe 2 4 16" xfId="42684"/>
    <cellStyle name="Złe 2 4 17" xfId="42685"/>
    <cellStyle name="Złe 2 4 18" xfId="42686"/>
    <cellStyle name="Złe 2 4 19" xfId="42687"/>
    <cellStyle name="Złe 2 4 2" xfId="42688"/>
    <cellStyle name="Złe 2 4 3" xfId="42689"/>
    <cellStyle name="Złe 2 4 4" xfId="42690"/>
    <cellStyle name="Złe 2 4 5" xfId="42691"/>
    <cellStyle name="Złe 2 4 6" xfId="42692"/>
    <cellStyle name="Złe 2 4 7" xfId="42693"/>
    <cellStyle name="Złe 2 4 8" xfId="42694"/>
    <cellStyle name="Złe 2 4 9" xfId="42695"/>
    <cellStyle name="Złe 2 40" xfId="42696"/>
    <cellStyle name="Złe 2 41" xfId="42697"/>
    <cellStyle name="Złe 2 42" xfId="42698"/>
    <cellStyle name="Złe 2 43" xfId="42699"/>
    <cellStyle name="Złe 2 44" xfId="42700"/>
    <cellStyle name="Złe 2 45" xfId="42701"/>
    <cellStyle name="Złe 2 46" xfId="42702"/>
    <cellStyle name="Złe 2 47" xfId="42703"/>
    <cellStyle name="Złe 2 48" xfId="42704"/>
    <cellStyle name="Złe 2 49" xfId="42705"/>
    <cellStyle name="Złe 2 5" xfId="42706"/>
    <cellStyle name="Złe 2 5 10" xfId="42707"/>
    <cellStyle name="Złe 2 5 11" xfId="42708"/>
    <cellStyle name="Złe 2 5 12" xfId="42709"/>
    <cellStyle name="Złe 2 5 13" xfId="42710"/>
    <cellStyle name="Złe 2 5 14" xfId="42711"/>
    <cellStyle name="Złe 2 5 15" xfId="42712"/>
    <cellStyle name="Złe 2 5 16" xfId="42713"/>
    <cellStyle name="Złe 2 5 17" xfId="42714"/>
    <cellStyle name="Złe 2 5 18" xfId="42715"/>
    <cellStyle name="Złe 2 5 19" xfId="42716"/>
    <cellStyle name="Złe 2 5 2" xfId="42717"/>
    <cellStyle name="Złe 2 5 3" xfId="42718"/>
    <cellStyle name="Złe 2 5 4" xfId="42719"/>
    <cellStyle name="Złe 2 5 5" xfId="42720"/>
    <cellStyle name="Złe 2 5 6" xfId="42721"/>
    <cellStyle name="Złe 2 5 7" xfId="42722"/>
    <cellStyle name="Złe 2 5 8" xfId="42723"/>
    <cellStyle name="Złe 2 5 9" xfId="42724"/>
    <cellStyle name="Złe 2 50" xfId="42725"/>
    <cellStyle name="Złe 2 51" xfId="42726"/>
    <cellStyle name="Złe 2 52" xfId="42727"/>
    <cellStyle name="Złe 2 53" xfId="42728"/>
    <cellStyle name="Złe 2 54" xfId="42729"/>
    <cellStyle name="Złe 2 6" xfId="42730"/>
    <cellStyle name="Złe 2 6 10" xfId="42731"/>
    <cellStyle name="Złe 2 6 11" xfId="42732"/>
    <cellStyle name="Złe 2 6 12" xfId="42733"/>
    <cellStyle name="Złe 2 6 13" xfId="42734"/>
    <cellStyle name="Złe 2 6 14" xfId="42735"/>
    <cellStyle name="Złe 2 6 15" xfId="42736"/>
    <cellStyle name="Złe 2 6 16" xfId="42737"/>
    <cellStyle name="Złe 2 6 17" xfId="42738"/>
    <cellStyle name="Złe 2 6 18" xfId="42739"/>
    <cellStyle name="Złe 2 6 19" xfId="42740"/>
    <cellStyle name="Złe 2 6 2" xfId="42741"/>
    <cellStyle name="Złe 2 6 3" xfId="42742"/>
    <cellStyle name="Złe 2 6 4" xfId="42743"/>
    <cellStyle name="Złe 2 6 5" xfId="42744"/>
    <cellStyle name="Złe 2 6 6" xfId="42745"/>
    <cellStyle name="Złe 2 6 7" xfId="42746"/>
    <cellStyle name="Złe 2 6 8" xfId="42747"/>
    <cellStyle name="Złe 2 6 9" xfId="42748"/>
    <cellStyle name="Złe 2 7" xfId="42749"/>
    <cellStyle name="Złe 2 7 10" xfId="42750"/>
    <cellStyle name="Złe 2 7 11" xfId="42751"/>
    <cellStyle name="Złe 2 7 12" xfId="42752"/>
    <cellStyle name="Złe 2 7 13" xfId="42753"/>
    <cellStyle name="Złe 2 7 14" xfId="42754"/>
    <cellStyle name="Złe 2 7 15" xfId="42755"/>
    <cellStyle name="Złe 2 7 16" xfId="42756"/>
    <cellStyle name="Złe 2 7 17" xfId="42757"/>
    <cellStyle name="Złe 2 7 18" xfId="42758"/>
    <cellStyle name="Złe 2 7 19" xfId="42759"/>
    <cellStyle name="Złe 2 7 2" xfId="42760"/>
    <cellStyle name="Złe 2 7 3" xfId="42761"/>
    <cellStyle name="Złe 2 7 4" xfId="42762"/>
    <cellStyle name="Złe 2 7 5" xfId="42763"/>
    <cellStyle name="Złe 2 7 6" xfId="42764"/>
    <cellStyle name="Złe 2 7 7" xfId="42765"/>
    <cellStyle name="Złe 2 7 8" xfId="42766"/>
    <cellStyle name="Złe 2 7 9" xfId="42767"/>
    <cellStyle name="Złe 2 8" xfId="42768"/>
    <cellStyle name="Złe 2 8 10" xfId="42769"/>
    <cellStyle name="Złe 2 8 11" xfId="42770"/>
    <cellStyle name="Złe 2 8 12" xfId="42771"/>
    <cellStyle name="Złe 2 8 13" xfId="42772"/>
    <cellStyle name="Złe 2 8 14" xfId="42773"/>
    <cellStyle name="Złe 2 8 15" xfId="42774"/>
    <cellStyle name="Złe 2 8 16" xfId="42775"/>
    <cellStyle name="Złe 2 8 17" xfId="42776"/>
    <cellStyle name="Złe 2 8 18" xfId="42777"/>
    <cellStyle name="Złe 2 8 19" xfId="42778"/>
    <cellStyle name="Złe 2 8 2" xfId="42779"/>
    <cellStyle name="Złe 2 8 3" xfId="42780"/>
    <cellStyle name="Złe 2 8 4" xfId="42781"/>
    <cellStyle name="Złe 2 8 5" xfId="42782"/>
    <cellStyle name="Złe 2 8 6" xfId="42783"/>
    <cellStyle name="Złe 2 8 7" xfId="42784"/>
    <cellStyle name="Złe 2 8 8" xfId="42785"/>
    <cellStyle name="Złe 2 8 9" xfId="42786"/>
    <cellStyle name="Złe 2 9" xfId="42787"/>
    <cellStyle name="Złe 2 9 10" xfId="42788"/>
    <cellStyle name="Złe 2 9 11" xfId="42789"/>
    <cellStyle name="Złe 2 9 12" xfId="42790"/>
    <cellStyle name="Złe 2 9 13" xfId="42791"/>
    <cellStyle name="Złe 2 9 14" xfId="42792"/>
    <cellStyle name="Złe 2 9 15" xfId="42793"/>
    <cellStyle name="Złe 2 9 16" xfId="42794"/>
    <cellStyle name="Złe 2 9 17" xfId="42795"/>
    <cellStyle name="Złe 2 9 18" xfId="42796"/>
    <cellStyle name="Złe 2 9 19" xfId="42797"/>
    <cellStyle name="Złe 2 9 2" xfId="42798"/>
    <cellStyle name="Złe 2 9 3" xfId="42799"/>
    <cellStyle name="Złe 2 9 4" xfId="42800"/>
    <cellStyle name="Złe 2 9 5" xfId="42801"/>
    <cellStyle name="Złe 2 9 6" xfId="42802"/>
    <cellStyle name="Złe 2 9 7" xfId="42803"/>
    <cellStyle name="Złe 2 9 8" xfId="42804"/>
    <cellStyle name="Złe 2 9 9" xfId="42805"/>
    <cellStyle name="Złe 3" xfId="42806"/>
    <cellStyle name="Złe 3 10" xfId="42807"/>
    <cellStyle name="Złe 3 11" xfId="42808"/>
    <cellStyle name="Złe 3 12" xfId="42809"/>
    <cellStyle name="Złe 3 13" xfId="42810"/>
    <cellStyle name="Złe 3 14" xfId="42811"/>
    <cellStyle name="Złe 3 15" xfId="42812"/>
    <cellStyle name="Złe 3 16" xfId="42813"/>
    <cellStyle name="Złe 3 17" xfId="42814"/>
    <cellStyle name="Złe 3 18" xfId="42815"/>
    <cellStyle name="Złe 3 19" xfId="42816"/>
    <cellStyle name="Złe 3 2" xfId="42817"/>
    <cellStyle name="Złe 3 2 2" xfId="42818"/>
    <cellStyle name="Złe 3 20" xfId="42819"/>
    <cellStyle name="Złe 3 21" xfId="42820"/>
    <cellStyle name="Złe 3 22" xfId="42821"/>
    <cellStyle name="Złe 3 23" xfId="42822"/>
    <cellStyle name="Złe 3 3" xfId="42823"/>
    <cellStyle name="Złe 3 4" xfId="42824"/>
    <cellStyle name="Złe 3 5" xfId="42825"/>
    <cellStyle name="Złe 3 6" xfId="42826"/>
    <cellStyle name="Złe 3 7" xfId="42827"/>
    <cellStyle name="Złe 3 8" xfId="42828"/>
    <cellStyle name="Złe 3 9" xfId="42829"/>
    <cellStyle name="Złe 4" xfId="42830"/>
    <cellStyle name="Złe 4 2" xfId="42831"/>
    <cellStyle name="Złe 4 3" xfId="42832"/>
    <cellStyle name="Złe 4 4" xfId="42833"/>
    <cellStyle name="Złe 4 5" xfId="42834"/>
    <cellStyle name="Złe 4 6" xfId="42835"/>
    <cellStyle name="Złe 4 7" xfId="42836"/>
    <cellStyle name="Złe 4 8" xfId="42837"/>
    <cellStyle name="Złe 4 9" xfId="42838"/>
    <cellStyle name="Złe 5" xfId="42839"/>
    <cellStyle name="Złe 5 2" xfId="42840"/>
    <cellStyle name="Złe 5 3" xfId="42841"/>
    <cellStyle name="Złe 6" xfId="42842"/>
    <cellStyle name="Złe 6 2" xfId="42843"/>
    <cellStyle name="Złe 7" xfId="42844"/>
  </cellStyles>
  <dxfs count="0"/>
  <tableStyles count="0" defaultTableStyle="TableStyleMedium9" defaultPivotStyle="PivotStyleLight16"/>
  <colors>
    <mruColors>
      <color rgb="FFF7A8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XFA53"/>
  <sheetViews>
    <sheetView showGridLines="0" tabSelected="1" zoomScale="109" zoomScaleNormal="109" zoomScaleSheetLayoutView="85" workbookViewId="0">
      <pane xSplit="2" ySplit="4" topLeftCell="AV5" activePane="bottomRight" state="frozen"/>
      <selection pane="topRight" activeCell="C1" sqref="C1"/>
      <selection pane="bottomLeft" activeCell="A5" sqref="A5"/>
      <selection pane="bottomRight" activeCell="A4" sqref="A4"/>
    </sheetView>
  </sheetViews>
  <sheetFormatPr defaultColWidth="9" defaultRowHeight="28.5" customHeight="1" outlineLevelCol="1"/>
  <cols>
    <col min="1" max="2" width="41.625" style="7" customWidth="1" outlineLevel="1"/>
    <col min="3" max="8" width="0" style="6" hidden="1" customWidth="1" outlineLevel="1"/>
    <col min="9" max="9" width="0" style="365" hidden="1" customWidth="1" outlineLevel="1"/>
    <col min="10" max="10" width="0" style="366" hidden="1" customWidth="1" outlineLevel="1"/>
    <col min="11" max="13" width="10.125" style="6" hidden="1" customWidth="1" outlineLevel="1"/>
    <col min="14" max="16" width="9.125" style="6" hidden="1" customWidth="1" outlineLevel="1"/>
    <col min="17" max="24" width="10.125" style="6" hidden="1" customWidth="1" outlineLevel="1"/>
    <col min="25" max="25" width="10.125" style="271" hidden="1" customWidth="1" outlineLevel="1"/>
    <col min="26" max="29" width="10.125" style="6" hidden="1" customWidth="1" outlineLevel="1"/>
    <col min="30" max="30" width="10.125" style="271" hidden="1" customWidth="1" outlineLevel="1"/>
    <col min="31" max="34" width="10.125" style="6" hidden="1" customWidth="1" outlineLevel="1"/>
    <col min="35" max="35" width="10.125" style="271" hidden="1" customWidth="1" outlineLevel="1"/>
    <col min="36" max="36" width="10.125" style="6" hidden="1" customWidth="1" outlineLevel="1"/>
    <col min="37" max="37" width="10.125" style="564" hidden="1" customWidth="1" outlineLevel="1"/>
    <col min="38" max="38" width="4" customWidth="1" collapsed="1"/>
    <col min="39" max="40" width="10.125" style="6" customWidth="1"/>
    <col min="41" max="41" width="10.125" style="271" customWidth="1"/>
    <col min="42" max="42" width="10.125" style="6" customWidth="1"/>
    <col min="43" max="43" width="10.125" style="6" bestFit="1" customWidth="1"/>
    <col min="44" max="45" width="10.125" style="6" customWidth="1"/>
    <col min="46" max="46" width="10.125" style="271" customWidth="1"/>
    <col min="47" max="47" width="10.125" style="6" customWidth="1"/>
    <col min="48" max="48" width="10.125" style="6" bestFit="1" customWidth="1"/>
    <col min="49" max="50" width="10.125" style="6" customWidth="1"/>
    <col min="51" max="51" width="10.125" style="271" customWidth="1"/>
    <col min="52" max="52" width="10.125" style="6" customWidth="1"/>
    <col min="53" max="53" width="10.125" style="6" bestFit="1" customWidth="1"/>
    <col min="54" max="55" width="10.125" style="6" customWidth="1"/>
    <col min="56" max="56" width="10.125" style="271" customWidth="1"/>
    <col min="57" max="57" width="10.125" style="6" customWidth="1"/>
    <col min="58" max="58" width="10.125" style="6" bestFit="1" customWidth="1"/>
    <col min="59" max="16384" width="9" style="7"/>
  </cols>
  <sheetData>
    <row r="1" spans="1:58" s="12" customFormat="1" ht="28.5" customHeight="1" thickBot="1">
      <c r="A1" s="306" t="s">
        <v>95</v>
      </c>
      <c r="B1" s="306"/>
      <c r="C1" s="10"/>
      <c r="D1" s="10"/>
      <c r="E1" s="10"/>
      <c r="F1" s="10"/>
      <c r="G1" s="10"/>
      <c r="H1" s="10"/>
      <c r="I1" s="307"/>
      <c r="J1" s="11"/>
      <c r="K1" s="10"/>
      <c r="L1" s="10"/>
      <c r="M1" s="10"/>
      <c r="N1" s="10"/>
      <c r="O1" s="10"/>
      <c r="P1" s="10"/>
      <c r="Q1" s="10"/>
      <c r="R1" s="10"/>
      <c r="S1" s="10"/>
      <c r="T1" s="10"/>
      <c r="U1" s="308"/>
      <c r="V1" s="308"/>
      <c r="W1" s="308"/>
      <c r="X1" s="308"/>
      <c r="Y1" s="309"/>
      <c r="Z1" s="308"/>
      <c r="AA1" s="308"/>
      <c r="AB1" s="308"/>
      <c r="AC1" s="308"/>
      <c r="AD1" s="309"/>
      <c r="AE1" s="308"/>
      <c r="AF1" s="308"/>
      <c r="AG1" s="308"/>
      <c r="AH1" s="320"/>
      <c r="AI1" s="411"/>
      <c r="AJ1" s="308"/>
      <c r="AK1" s="551"/>
      <c r="AM1" s="308"/>
      <c r="AN1" s="308"/>
      <c r="AO1" s="411"/>
      <c r="AP1" s="308"/>
      <c r="AQ1" s="308"/>
      <c r="AR1" s="308"/>
      <c r="AS1" s="308"/>
      <c r="AT1" s="411"/>
      <c r="AU1" s="308"/>
      <c r="AV1" s="308"/>
      <c r="AW1" s="308"/>
      <c r="AX1" s="308"/>
      <c r="AY1" s="411"/>
      <c r="AZ1" s="308"/>
      <c r="BA1" s="308"/>
      <c r="BB1" s="308"/>
      <c r="BC1" s="308"/>
      <c r="BD1" s="411"/>
      <c r="BE1" s="308"/>
      <c r="BF1" s="308"/>
    </row>
    <row r="2" spans="1:58" ht="32.1" customHeight="1">
      <c r="A2" s="655" t="s">
        <v>96</v>
      </c>
      <c r="B2" s="627" t="s">
        <v>240</v>
      </c>
      <c r="C2" s="715">
        <v>2012</v>
      </c>
      <c r="D2" s="712"/>
      <c r="E2" s="712"/>
      <c r="F2" s="712"/>
      <c r="G2" s="713"/>
      <c r="H2" s="712">
        <v>2013</v>
      </c>
      <c r="I2" s="712"/>
      <c r="J2" s="712"/>
      <c r="K2" s="712"/>
      <c r="L2" s="713"/>
      <c r="M2" s="711">
        <v>2014</v>
      </c>
      <c r="N2" s="712"/>
      <c r="O2" s="712"/>
      <c r="P2" s="712"/>
      <c r="Q2" s="713"/>
      <c r="R2" s="711">
        <v>2015</v>
      </c>
      <c r="S2" s="712"/>
      <c r="T2" s="712"/>
      <c r="U2" s="712"/>
      <c r="V2" s="713"/>
      <c r="W2" s="711">
        <v>2016</v>
      </c>
      <c r="X2" s="712"/>
      <c r="Y2" s="712"/>
      <c r="Z2" s="712"/>
      <c r="AA2" s="713"/>
      <c r="AB2" s="711">
        <v>2017</v>
      </c>
      <c r="AC2" s="712"/>
      <c r="AD2" s="712"/>
      <c r="AE2" s="712"/>
      <c r="AF2" s="713"/>
      <c r="AG2" s="711" t="s">
        <v>268</v>
      </c>
      <c r="AH2" s="712"/>
      <c r="AI2" s="712"/>
      <c r="AJ2" s="712"/>
      <c r="AK2" s="713"/>
      <c r="AM2" s="708" t="s">
        <v>274</v>
      </c>
      <c r="AN2" s="709"/>
      <c r="AO2" s="709"/>
      <c r="AP2" s="709"/>
      <c r="AQ2" s="710"/>
      <c r="AR2" s="708" t="s">
        <v>276</v>
      </c>
      <c r="AS2" s="709"/>
      <c r="AT2" s="709"/>
      <c r="AU2" s="709"/>
      <c r="AV2" s="710"/>
      <c r="AW2" s="716" t="s">
        <v>210</v>
      </c>
      <c r="AX2" s="717"/>
      <c r="AY2" s="717"/>
      <c r="AZ2" s="717"/>
      <c r="BA2" s="718"/>
      <c r="BB2" s="716" t="s">
        <v>279</v>
      </c>
      <c r="BC2" s="717"/>
      <c r="BD2" s="717"/>
      <c r="BE2" s="717"/>
      <c r="BF2" s="718"/>
    </row>
    <row r="3" spans="1:58" ht="32.1" customHeight="1">
      <c r="A3" s="654"/>
      <c r="B3" s="642"/>
      <c r="C3" s="643"/>
      <c r="D3" s="643"/>
      <c r="E3" s="643"/>
      <c r="F3" s="643"/>
      <c r="G3" s="645"/>
      <c r="H3" s="643"/>
      <c r="I3" s="643"/>
      <c r="J3" s="643"/>
      <c r="K3" s="643"/>
      <c r="L3" s="643"/>
      <c r="M3" s="644"/>
      <c r="N3" s="643"/>
      <c r="O3" s="643"/>
      <c r="P3" s="643"/>
      <c r="Q3" s="645"/>
      <c r="R3" s="643"/>
      <c r="S3" s="643"/>
      <c r="T3" s="643"/>
      <c r="U3" s="643"/>
      <c r="V3" s="645"/>
      <c r="W3" s="643"/>
      <c r="X3" s="643"/>
      <c r="Y3" s="643"/>
      <c r="Z3" s="643"/>
      <c r="AA3" s="645"/>
      <c r="AB3" s="643"/>
      <c r="AC3" s="643"/>
      <c r="AD3" s="643"/>
      <c r="AE3" s="643"/>
      <c r="AF3" s="645"/>
      <c r="AG3" s="719" t="s">
        <v>275</v>
      </c>
      <c r="AH3" s="720"/>
      <c r="AI3" s="720"/>
      <c r="AJ3" s="720"/>
      <c r="AK3" s="721"/>
      <c r="AL3" s="518"/>
      <c r="AM3" s="719" t="s">
        <v>273</v>
      </c>
      <c r="AN3" s="720"/>
      <c r="AO3" s="720"/>
      <c r="AP3" s="720"/>
      <c r="AQ3" s="721"/>
      <c r="AR3" s="719" t="s">
        <v>277</v>
      </c>
      <c r="AS3" s="720"/>
      <c r="AT3" s="720"/>
      <c r="AU3" s="720"/>
      <c r="AV3" s="721"/>
      <c r="AW3" s="722" t="s">
        <v>278</v>
      </c>
      <c r="AX3" s="723"/>
      <c r="AY3" s="723"/>
      <c r="AZ3" s="723"/>
      <c r="BA3" s="724"/>
      <c r="BB3" s="722" t="s">
        <v>280</v>
      </c>
      <c r="BC3" s="723"/>
      <c r="BD3" s="723"/>
      <c r="BE3" s="723"/>
      <c r="BF3" s="724"/>
    </row>
    <row r="4" spans="1:58" ht="16.5" customHeight="1" thickBot="1">
      <c r="A4" s="310" t="s">
        <v>267</v>
      </c>
      <c r="B4" s="628"/>
      <c r="C4" s="405" t="s">
        <v>97</v>
      </c>
      <c r="D4" s="405" t="s">
        <v>98</v>
      </c>
      <c r="E4" s="405" t="s">
        <v>99</v>
      </c>
      <c r="F4" s="405" t="s">
        <v>100</v>
      </c>
      <c r="G4" s="406">
        <v>2012</v>
      </c>
      <c r="H4" s="407" t="s">
        <v>97</v>
      </c>
      <c r="I4" s="405" t="s">
        <v>98</v>
      </c>
      <c r="J4" s="405" t="s">
        <v>99</v>
      </c>
      <c r="K4" s="405" t="s">
        <v>100</v>
      </c>
      <c r="L4" s="406">
        <v>2013</v>
      </c>
      <c r="M4" s="407" t="s">
        <v>97</v>
      </c>
      <c r="N4" s="405" t="s">
        <v>98</v>
      </c>
      <c r="O4" s="405" t="s">
        <v>99</v>
      </c>
      <c r="P4" s="405" t="s">
        <v>100</v>
      </c>
      <c r="Q4" s="408">
        <v>2014</v>
      </c>
      <c r="R4" s="405" t="s">
        <v>97</v>
      </c>
      <c r="S4" s="405" t="s">
        <v>98</v>
      </c>
      <c r="T4" s="405" t="s">
        <v>99</v>
      </c>
      <c r="U4" s="405" t="s">
        <v>100</v>
      </c>
      <c r="V4" s="408">
        <v>2015</v>
      </c>
      <c r="W4" s="405" t="s">
        <v>170</v>
      </c>
      <c r="X4" s="405" t="s">
        <v>98</v>
      </c>
      <c r="Y4" s="409" t="s">
        <v>99</v>
      </c>
      <c r="Z4" s="405" t="s">
        <v>100</v>
      </c>
      <c r="AA4" s="408" t="s">
        <v>171</v>
      </c>
      <c r="AB4" s="405" t="s">
        <v>97</v>
      </c>
      <c r="AC4" s="405" t="s">
        <v>98</v>
      </c>
      <c r="AD4" s="409" t="s">
        <v>99</v>
      </c>
      <c r="AE4" s="405" t="s">
        <v>100</v>
      </c>
      <c r="AF4" s="408">
        <v>2017</v>
      </c>
      <c r="AG4" s="311" t="s">
        <v>97</v>
      </c>
      <c r="AH4" s="311" t="s">
        <v>98</v>
      </c>
      <c r="AI4" s="264" t="s">
        <v>99</v>
      </c>
      <c r="AJ4" s="311" t="s">
        <v>100</v>
      </c>
      <c r="AK4" s="552">
        <v>2018</v>
      </c>
      <c r="AL4" s="7"/>
      <c r="AM4" s="312" t="s">
        <v>97</v>
      </c>
      <c r="AN4" s="311" t="s">
        <v>98</v>
      </c>
      <c r="AO4" s="264" t="s">
        <v>99</v>
      </c>
      <c r="AP4" s="311" t="s">
        <v>100</v>
      </c>
      <c r="AQ4" s="313">
        <v>2018</v>
      </c>
      <c r="AR4" s="312" t="s">
        <v>97</v>
      </c>
      <c r="AS4" s="311" t="s">
        <v>98</v>
      </c>
      <c r="AT4" s="264" t="s">
        <v>99</v>
      </c>
      <c r="AU4" s="311" t="s">
        <v>100</v>
      </c>
      <c r="AV4" s="313" t="s">
        <v>224</v>
      </c>
      <c r="AW4" s="312" t="s">
        <v>97</v>
      </c>
      <c r="AX4" s="311" t="s">
        <v>98</v>
      </c>
      <c r="AY4" s="264" t="s">
        <v>99</v>
      </c>
      <c r="AZ4" s="311" t="s">
        <v>100</v>
      </c>
      <c r="BA4" s="313" t="s">
        <v>224</v>
      </c>
      <c r="BB4" s="312" t="s">
        <v>97</v>
      </c>
      <c r="BC4" s="311" t="s">
        <v>98</v>
      </c>
      <c r="BD4" s="264" t="s">
        <v>99</v>
      </c>
      <c r="BE4" s="311" t="s">
        <v>100</v>
      </c>
      <c r="BF4" s="313" t="s">
        <v>235</v>
      </c>
    </row>
    <row r="5" spans="1:58" ht="34.5" customHeight="1" thickBot="1">
      <c r="A5" s="314" t="s">
        <v>68</v>
      </c>
      <c r="B5" s="314" t="s">
        <v>241</v>
      </c>
      <c r="C5" s="315">
        <f>SUM(C6:C9)</f>
        <v>669.2</v>
      </c>
      <c r="D5" s="315">
        <f t="shared" ref="D5:P5" si="0">SUM(D6:D9)</f>
        <v>713.8</v>
      </c>
      <c r="E5" s="315">
        <f t="shared" si="0"/>
        <v>644.5</v>
      </c>
      <c r="F5" s="315">
        <f t="shared" si="0"/>
        <v>750.60000000000014</v>
      </c>
      <c r="G5" s="316">
        <f>SUM(G6:G9)</f>
        <v>2778.0999999999995</v>
      </c>
      <c r="H5" s="317">
        <f t="shared" si="0"/>
        <v>697.1</v>
      </c>
      <c r="I5" s="315">
        <f t="shared" si="0"/>
        <v>735.9</v>
      </c>
      <c r="J5" s="315">
        <f t="shared" si="0"/>
        <v>677.3</v>
      </c>
      <c r="K5" s="315">
        <f t="shared" si="0"/>
        <v>800.5</v>
      </c>
      <c r="L5" s="316">
        <f>SUM(L6:L9)</f>
        <v>2910.8</v>
      </c>
      <c r="M5" s="317">
        <f t="shared" si="0"/>
        <v>723.29999999999984</v>
      </c>
      <c r="N5" s="315">
        <f t="shared" si="0"/>
        <v>1745.9</v>
      </c>
      <c r="O5" s="315">
        <f t="shared" si="0"/>
        <v>2419.6</v>
      </c>
      <c r="P5" s="315">
        <f t="shared" si="0"/>
        <v>2521.1000000000004</v>
      </c>
      <c r="Q5" s="318">
        <f>SUM(Q6:Q9)</f>
        <v>7409.9</v>
      </c>
      <c r="R5" s="315">
        <f t="shared" ref="R5:U5" si="1">SUM(R6:R9)</f>
        <v>2329</v>
      </c>
      <c r="S5" s="315">
        <f t="shared" si="1"/>
        <v>2469.1999999999998</v>
      </c>
      <c r="T5" s="315">
        <f t="shared" si="1"/>
        <v>2414.8999999999996</v>
      </c>
      <c r="U5" s="315">
        <f t="shared" si="1"/>
        <v>2609.9</v>
      </c>
      <c r="V5" s="318">
        <f>SUM(V6:V9)</f>
        <v>9823</v>
      </c>
      <c r="W5" s="315">
        <f t="shared" ref="W5:Z5" si="2">SUM(W6:W9)</f>
        <v>2364</v>
      </c>
      <c r="X5" s="315">
        <f t="shared" si="2"/>
        <v>2442.9</v>
      </c>
      <c r="Y5" s="265">
        <f t="shared" si="2"/>
        <v>2387.8000000000002</v>
      </c>
      <c r="Z5" s="265">
        <f t="shared" si="2"/>
        <v>2535.1</v>
      </c>
      <c r="AA5" s="318">
        <f>SUM(AA6:AA9)</f>
        <v>9729.7999999999993</v>
      </c>
      <c r="AB5" s="315">
        <f t="shared" ref="AB5:AF5" si="3">SUM(AB6:AB9)</f>
        <v>2388.6</v>
      </c>
      <c r="AC5" s="315">
        <f t="shared" si="3"/>
        <v>2469.9</v>
      </c>
      <c r="AD5" s="315">
        <f t="shared" si="3"/>
        <v>2390.9</v>
      </c>
      <c r="AE5" s="315">
        <f t="shared" si="3"/>
        <v>2579.1999999999998</v>
      </c>
      <c r="AF5" s="318">
        <f t="shared" si="3"/>
        <v>9828.6</v>
      </c>
      <c r="AG5" s="315">
        <f>SUM(AG6:AG9)</f>
        <v>2360.6999999999998</v>
      </c>
      <c r="AH5" s="315">
        <f>SUM(AH6:AH9)</f>
        <v>2476.9</v>
      </c>
      <c r="AI5" s="315">
        <f>SUM(AI6:AI9)</f>
        <v>2435.4</v>
      </c>
      <c r="AJ5" s="228">
        <f t="shared" ref="AJ5:AK5" si="4">SUM(AJ6:AJ9)</f>
        <v>2682</v>
      </c>
      <c r="AK5" s="553">
        <f t="shared" si="4"/>
        <v>9955</v>
      </c>
      <c r="AL5" s="527"/>
      <c r="AM5" s="317">
        <f>SUM(AM6:AM9)</f>
        <v>2345.9</v>
      </c>
      <c r="AN5" s="315">
        <f>SUM(AN6:AN9)</f>
        <v>2603.1999999999998</v>
      </c>
      <c r="AO5" s="315">
        <f>SUM(AO6:AO9)</f>
        <v>2735</v>
      </c>
      <c r="AP5" s="228">
        <f t="shared" ref="AP5:AQ5" si="5">SUM(AP6:AP9)</f>
        <v>3002</v>
      </c>
      <c r="AQ5" s="318">
        <f t="shared" si="5"/>
        <v>10686.100000000002</v>
      </c>
      <c r="AR5" s="317">
        <f>SUM(AR6:AR9)</f>
        <v>2782.4</v>
      </c>
      <c r="AS5" s="315">
        <f>SUM(AS6:AS9)</f>
        <v>2913</v>
      </c>
      <c r="AT5" s="315">
        <f>SUM(AT6:AT9)</f>
        <v>2882.3</v>
      </c>
      <c r="AU5" s="315">
        <f>SUM(AU6:AU9)</f>
        <v>3059.0000000000005</v>
      </c>
      <c r="AV5" s="318">
        <f t="shared" ref="AV5" si="6">SUM(AV6:AV9)</f>
        <v>11636.7</v>
      </c>
      <c r="AW5" s="317">
        <f>SUM(AW6:AW9)</f>
        <v>2791.6</v>
      </c>
      <c r="AX5" s="315">
        <f>SUM(AX6:AX9)</f>
        <v>2923</v>
      </c>
      <c r="AY5" s="315">
        <f>SUM(AY6:AY9)</f>
        <v>2892.4</v>
      </c>
      <c r="AZ5" s="315">
        <f>SUM(AZ6:AZ9)</f>
        <v>3069.1000000000004</v>
      </c>
      <c r="BA5" s="318">
        <f t="shared" ref="BA5" si="7">SUM(BA6:BA9)</f>
        <v>11676.1</v>
      </c>
      <c r="BB5" s="317">
        <f>SUM(BB6:BB9)</f>
        <v>2848.4999999999995</v>
      </c>
      <c r="BC5" s="315">
        <f>SUM(BC6:BC9)</f>
        <v>0</v>
      </c>
      <c r="BD5" s="315">
        <f>SUM(BD6:BD9)</f>
        <v>0</v>
      </c>
      <c r="BE5" s="315">
        <f>SUM(BE6:BE9)</f>
        <v>0</v>
      </c>
      <c r="BF5" s="318">
        <f t="shared" ref="BF5" si="8">SUM(BF6:BF9)</f>
        <v>2848.4999999999995</v>
      </c>
    </row>
    <row r="6" spans="1:58" ht="24.75" customHeight="1">
      <c r="A6" s="319" t="s">
        <v>74</v>
      </c>
      <c r="B6" s="629" t="s">
        <v>242</v>
      </c>
      <c r="C6" s="320">
        <v>424</v>
      </c>
      <c r="D6" s="320">
        <v>427.1</v>
      </c>
      <c r="E6" s="320">
        <v>434.4</v>
      </c>
      <c r="F6" s="320">
        <v>446.6</v>
      </c>
      <c r="G6" s="321">
        <f>SUM(C6:F6)</f>
        <v>1732.1</v>
      </c>
      <c r="H6" s="322">
        <v>451.7</v>
      </c>
      <c r="I6" s="320">
        <v>452</v>
      </c>
      <c r="J6" s="320">
        <v>460.3</v>
      </c>
      <c r="K6" s="320">
        <v>466.1</v>
      </c>
      <c r="L6" s="321">
        <f>SUM(H6:K6)</f>
        <v>1830.1</v>
      </c>
      <c r="M6" s="322">
        <v>467.79999999999995</v>
      </c>
      <c r="N6" s="320">
        <v>1204.5</v>
      </c>
      <c r="O6" s="320">
        <v>1710.7</v>
      </c>
      <c r="P6" s="320">
        <v>1701.7</v>
      </c>
      <c r="Q6" s="323">
        <f>SUM(M6:P6)</f>
        <v>5084.7</v>
      </c>
      <c r="R6" s="320">
        <v>1637.2</v>
      </c>
      <c r="S6" s="320">
        <v>1652</v>
      </c>
      <c r="T6" s="320">
        <v>1643.3</v>
      </c>
      <c r="U6" s="324">
        <v>1620.6</v>
      </c>
      <c r="V6" s="323">
        <v>6553.1</v>
      </c>
      <c r="W6" s="325">
        <v>1565.7</v>
      </c>
      <c r="X6" s="325">
        <v>1586.9</v>
      </c>
      <c r="Y6" s="266">
        <v>1583.7</v>
      </c>
      <c r="Z6" s="324">
        <v>1589</v>
      </c>
      <c r="AA6" s="323">
        <f>SUM(W6:Z6)</f>
        <v>6325.3</v>
      </c>
      <c r="AB6" s="325">
        <v>1542.7</v>
      </c>
      <c r="AC6" s="325">
        <v>1533.3</v>
      </c>
      <c r="AD6" s="266">
        <v>1494</v>
      </c>
      <c r="AE6" s="266">
        <v>1497.9</v>
      </c>
      <c r="AF6" s="323">
        <f>SUM(AB6:AE6)</f>
        <v>6067.9</v>
      </c>
      <c r="AG6" s="325">
        <v>1470.2</v>
      </c>
      <c r="AH6" s="320">
        <v>1483.8</v>
      </c>
      <c r="AI6" s="320">
        <v>1481.7</v>
      </c>
      <c r="AJ6" s="266">
        <v>1484.8</v>
      </c>
      <c r="AK6" s="554">
        <f>SUM(AG6:AJ6)</f>
        <v>5920.5</v>
      </c>
      <c r="AL6" s="527"/>
      <c r="AM6" s="567">
        <v>1352.2</v>
      </c>
      <c r="AN6" s="320">
        <v>1482.1</v>
      </c>
      <c r="AO6" s="320">
        <v>1630.5</v>
      </c>
      <c r="AP6" s="266">
        <v>1627.8000000000002</v>
      </c>
      <c r="AQ6" s="323">
        <f>SUM(AM6:AP6)</f>
        <v>6092.6</v>
      </c>
      <c r="AR6" s="266">
        <v>1606</v>
      </c>
      <c r="AS6" s="320">
        <v>1616.1</v>
      </c>
      <c r="AT6" s="320">
        <v>1618.3</v>
      </c>
      <c r="AU6" s="266">
        <v>1618.4</v>
      </c>
      <c r="AV6" s="323">
        <f>SUM(AR6:AU6)</f>
        <v>6458.7999999999993</v>
      </c>
      <c r="AW6" s="570">
        <v>1606</v>
      </c>
      <c r="AX6" s="320">
        <v>1616.1</v>
      </c>
      <c r="AY6" s="320">
        <v>1618.3</v>
      </c>
      <c r="AZ6" s="266">
        <v>1618.4</v>
      </c>
      <c r="BA6" s="323">
        <f>SUM(AW6:AZ6)</f>
        <v>6458.7999999999993</v>
      </c>
      <c r="BB6" s="570">
        <v>1604.5</v>
      </c>
      <c r="BC6" s="320"/>
      <c r="BD6" s="320"/>
      <c r="BE6" s="266"/>
      <c r="BF6" s="323">
        <f>SUM(BB6:BE6)</f>
        <v>1604.5</v>
      </c>
    </row>
    <row r="7" spans="1:58" ht="20.100000000000001" customHeight="1">
      <c r="A7" s="319" t="s">
        <v>75</v>
      </c>
      <c r="B7" s="630" t="s">
        <v>243</v>
      </c>
      <c r="C7" s="320">
        <v>234.6</v>
      </c>
      <c r="D7" s="320">
        <v>272.7</v>
      </c>
      <c r="E7" s="320">
        <v>198</v>
      </c>
      <c r="F7" s="320">
        <v>286.3</v>
      </c>
      <c r="G7" s="321">
        <f t="shared" ref="G7:G9" si="9">SUM(C7:F7)</f>
        <v>991.59999999999991</v>
      </c>
      <c r="H7" s="322">
        <v>223.8</v>
      </c>
      <c r="I7" s="320">
        <v>265.2</v>
      </c>
      <c r="J7" s="320">
        <v>204</v>
      </c>
      <c r="K7" s="320">
        <v>317.2</v>
      </c>
      <c r="L7" s="321">
        <f t="shared" ref="L7:L9" si="10">SUM(H7:K7)</f>
        <v>1010.2</v>
      </c>
      <c r="M7" s="322">
        <v>242.19999999999993</v>
      </c>
      <c r="N7" s="320">
        <v>479.1</v>
      </c>
      <c r="O7" s="320">
        <v>591.6</v>
      </c>
      <c r="P7" s="320">
        <v>641.1</v>
      </c>
      <c r="Q7" s="323">
        <f t="shared" ref="Q7:Q9" si="11">SUM(M7:P7)</f>
        <v>1954</v>
      </c>
      <c r="R7" s="320">
        <v>553.29999999999995</v>
      </c>
      <c r="S7" s="320">
        <v>688.7</v>
      </c>
      <c r="T7" s="320">
        <v>616.9</v>
      </c>
      <c r="U7" s="326">
        <v>738</v>
      </c>
      <c r="V7" s="323">
        <v>2596.9</v>
      </c>
      <c r="W7" s="325">
        <v>599.79999999999995</v>
      </c>
      <c r="X7" s="325">
        <v>645</v>
      </c>
      <c r="Y7" s="266">
        <v>562.9</v>
      </c>
      <c r="Z7" s="326">
        <v>658.4</v>
      </c>
      <c r="AA7" s="323">
        <f t="shared" ref="AA7:AA29" si="12">SUM(W7:Z7)</f>
        <v>2466.1</v>
      </c>
      <c r="AB7" s="325">
        <v>562.1</v>
      </c>
      <c r="AC7" s="325">
        <v>652.29999999999995</v>
      </c>
      <c r="AD7" s="266">
        <v>588.4</v>
      </c>
      <c r="AE7" s="266">
        <v>735.8</v>
      </c>
      <c r="AF7" s="323">
        <f t="shared" ref="AF7:AF29" si="13">SUM(AB7:AE7)</f>
        <v>2538.6000000000004</v>
      </c>
      <c r="AG7" s="325">
        <v>635.9</v>
      </c>
      <c r="AH7" s="320">
        <v>708.5</v>
      </c>
      <c r="AI7" s="320">
        <v>677.7</v>
      </c>
      <c r="AJ7" s="266">
        <v>860.1</v>
      </c>
      <c r="AK7" s="554">
        <f t="shared" ref="AK7:AK9" si="14">SUM(AG7:AJ7)</f>
        <v>2882.2000000000003</v>
      </c>
      <c r="AL7" s="528"/>
      <c r="AM7" s="567">
        <v>635.9</v>
      </c>
      <c r="AN7" s="320">
        <v>738.5</v>
      </c>
      <c r="AO7" s="320">
        <v>741.6</v>
      </c>
      <c r="AP7" s="266">
        <v>927.80000000000018</v>
      </c>
      <c r="AQ7" s="323">
        <f t="shared" ref="AQ7:AQ9" si="15">SUM(AM7:AP7)</f>
        <v>3043.8</v>
      </c>
      <c r="AR7" s="266">
        <v>772.7</v>
      </c>
      <c r="AS7" s="320">
        <v>861.6</v>
      </c>
      <c r="AT7" s="320">
        <v>790.5</v>
      </c>
      <c r="AU7" s="266">
        <v>925.4</v>
      </c>
      <c r="AV7" s="323">
        <f t="shared" ref="AV7:AV9" si="16">SUM(AR7:AU7)</f>
        <v>3350.2000000000003</v>
      </c>
      <c r="AW7" s="571">
        <v>772.7</v>
      </c>
      <c r="AX7" s="320">
        <v>861.6</v>
      </c>
      <c r="AY7" s="320">
        <v>790.5</v>
      </c>
      <c r="AZ7" s="266">
        <v>925.4</v>
      </c>
      <c r="BA7" s="323">
        <f t="shared" ref="BA7:BA9" si="17">SUM(AW7:AZ7)</f>
        <v>3350.2000000000003</v>
      </c>
      <c r="BB7" s="571">
        <v>823.7</v>
      </c>
      <c r="BC7" s="320"/>
      <c r="BD7" s="320"/>
      <c r="BE7" s="266"/>
      <c r="BF7" s="323">
        <f t="shared" ref="BF7:BF9" si="18">SUM(BB7:BE7)</f>
        <v>823.7</v>
      </c>
    </row>
    <row r="8" spans="1:58" ht="20.100000000000001" customHeight="1">
      <c r="A8" s="319" t="s">
        <v>76</v>
      </c>
      <c r="B8" s="630" t="s">
        <v>244</v>
      </c>
      <c r="C8" s="320">
        <v>2.7</v>
      </c>
      <c r="D8" s="320">
        <v>6.2</v>
      </c>
      <c r="E8" s="320">
        <v>2.6</v>
      </c>
      <c r="F8" s="320">
        <v>7.2</v>
      </c>
      <c r="G8" s="321">
        <f t="shared" si="9"/>
        <v>18.7</v>
      </c>
      <c r="H8" s="322">
        <v>13.1</v>
      </c>
      <c r="I8" s="320">
        <v>11.8</v>
      </c>
      <c r="J8" s="320">
        <v>7.1</v>
      </c>
      <c r="K8" s="320">
        <v>9.6999999999999993</v>
      </c>
      <c r="L8" s="321">
        <f t="shared" si="10"/>
        <v>41.7</v>
      </c>
      <c r="M8" s="322">
        <v>7.8999999999999986</v>
      </c>
      <c r="N8" s="320">
        <v>55.4</v>
      </c>
      <c r="O8" s="320">
        <v>104.1</v>
      </c>
      <c r="P8" s="320">
        <v>159.9</v>
      </c>
      <c r="Q8" s="323">
        <f t="shared" si="11"/>
        <v>327.29999999999995</v>
      </c>
      <c r="R8" s="320">
        <v>118.4</v>
      </c>
      <c r="S8" s="320">
        <v>106.9</v>
      </c>
      <c r="T8" s="320">
        <v>131.19999999999999</v>
      </c>
      <c r="U8" s="326">
        <v>226.89999999999998</v>
      </c>
      <c r="V8" s="323">
        <v>583.4</v>
      </c>
      <c r="W8" s="325">
        <v>172.8</v>
      </c>
      <c r="X8" s="325">
        <v>191.1</v>
      </c>
      <c r="Y8" s="266">
        <v>221.3</v>
      </c>
      <c r="Z8" s="326">
        <v>265.60000000000002</v>
      </c>
      <c r="AA8" s="323">
        <f t="shared" si="12"/>
        <v>850.80000000000007</v>
      </c>
      <c r="AB8" s="325">
        <v>248.6</v>
      </c>
      <c r="AC8" s="325">
        <v>243.3</v>
      </c>
      <c r="AD8" s="266">
        <v>264.5</v>
      </c>
      <c r="AE8" s="266">
        <v>298.8</v>
      </c>
      <c r="AF8" s="323">
        <f t="shared" si="13"/>
        <v>1055.2</v>
      </c>
      <c r="AG8" s="325">
        <v>208.6</v>
      </c>
      <c r="AH8" s="320">
        <v>239</v>
      </c>
      <c r="AI8" s="320">
        <v>237.6</v>
      </c>
      <c r="AJ8" s="266">
        <v>286.2</v>
      </c>
      <c r="AK8" s="554">
        <f t="shared" si="14"/>
        <v>971.40000000000009</v>
      </c>
      <c r="AL8" s="528"/>
      <c r="AM8" s="567">
        <v>317.5</v>
      </c>
      <c r="AN8" s="320">
        <v>341.7</v>
      </c>
      <c r="AO8" s="320">
        <v>328.6</v>
      </c>
      <c r="AP8" s="266">
        <v>398.20000000000005</v>
      </c>
      <c r="AQ8" s="323">
        <f t="shared" si="15"/>
        <v>1386</v>
      </c>
      <c r="AR8" s="266">
        <v>347.4</v>
      </c>
      <c r="AS8" s="320">
        <v>379.3</v>
      </c>
      <c r="AT8" s="320">
        <v>412.9</v>
      </c>
      <c r="AU8" s="266">
        <v>445.4</v>
      </c>
      <c r="AV8" s="323">
        <f t="shared" si="16"/>
        <v>1585</v>
      </c>
      <c r="AW8" s="571">
        <v>347.4</v>
      </c>
      <c r="AX8" s="320">
        <v>379.3</v>
      </c>
      <c r="AY8" s="320">
        <v>412.9</v>
      </c>
      <c r="AZ8" s="266">
        <v>445.4</v>
      </c>
      <c r="BA8" s="323">
        <f t="shared" si="17"/>
        <v>1585</v>
      </c>
      <c r="BB8" s="571">
        <v>345.7</v>
      </c>
      <c r="BC8" s="320"/>
      <c r="BD8" s="320"/>
      <c r="BE8" s="266"/>
      <c r="BF8" s="323">
        <f t="shared" si="18"/>
        <v>345.7</v>
      </c>
    </row>
    <row r="9" spans="1:58" ht="20.100000000000001" customHeight="1" thickBot="1">
      <c r="A9" s="319" t="s">
        <v>77</v>
      </c>
      <c r="B9" s="631" t="s">
        <v>245</v>
      </c>
      <c r="C9" s="320">
        <v>7.9</v>
      </c>
      <c r="D9" s="320">
        <v>7.8</v>
      </c>
      <c r="E9" s="320">
        <v>9.5</v>
      </c>
      <c r="F9" s="320">
        <v>10.5</v>
      </c>
      <c r="G9" s="321">
        <f t="shared" si="9"/>
        <v>35.700000000000003</v>
      </c>
      <c r="H9" s="322">
        <v>8.5</v>
      </c>
      <c r="I9" s="320">
        <v>6.9</v>
      </c>
      <c r="J9" s="320">
        <v>5.9</v>
      </c>
      <c r="K9" s="320">
        <v>7.5</v>
      </c>
      <c r="L9" s="321">
        <f t="shared" si="10"/>
        <v>28.8</v>
      </c>
      <c r="M9" s="322">
        <v>5.4</v>
      </c>
      <c r="N9" s="320">
        <v>6.9</v>
      </c>
      <c r="O9" s="320">
        <v>13.2</v>
      </c>
      <c r="P9" s="320">
        <v>18.399999999999999</v>
      </c>
      <c r="Q9" s="323">
        <f t="shared" si="11"/>
        <v>43.9</v>
      </c>
      <c r="R9" s="320">
        <v>20.100000000000001</v>
      </c>
      <c r="S9" s="320">
        <v>21.6</v>
      </c>
      <c r="T9" s="320">
        <v>23.5</v>
      </c>
      <c r="U9" s="326">
        <v>24.399999999999991</v>
      </c>
      <c r="V9" s="323">
        <v>89.6</v>
      </c>
      <c r="W9" s="325">
        <v>25.7</v>
      </c>
      <c r="X9" s="325">
        <v>19.899999999999999</v>
      </c>
      <c r="Y9" s="266">
        <v>19.899999999999999</v>
      </c>
      <c r="Z9" s="326">
        <v>22.1</v>
      </c>
      <c r="AA9" s="323">
        <f t="shared" si="12"/>
        <v>87.6</v>
      </c>
      <c r="AB9" s="325">
        <v>35.200000000000003</v>
      </c>
      <c r="AC9" s="325">
        <v>41</v>
      </c>
      <c r="AD9" s="266">
        <v>44</v>
      </c>
      <c r="AE9" s="266">
        <v>46.7</v>
      </c>
      <c r="AF9" s="323">
        <f t="shared" si="13"/>
        <v>166.9</v>
      </c>
      <c r="AG9" s="325">
        <v>46</v>
      </c>
      <c r="AH9" s="320">
        <f>45.6</f>
        <v>45.6</v>
      </c>
      <c r="AI9" s="320">
        <v>38.4</v>
      </c>
      <c r="AJ9" s="266">
        <v>50.9</v>
      </c>
      <c r="AK9" s="554">
        <f t="shared" si="14"/>
        <v>180.9</v>
      </c>
      <c r="AL9" s="528"/>
      <c r="AM9" s="567">
        <v>40.299999999999997</v>
      </c>
      <c r="AN9" s="320">
        <v>40.9</v>
      </c>
      <c r="AO9" s="320">
        <v>34.299999999999997</v>
      </c>
      <c r="AP9" s="266">
        <v>48.199999999999989</v>
      </c>
      <c r="AQ9" s="323">
        <f t="shared" si="15"/>
        <v>163.69999999999999</v>
      </c>
      <c r="AR9" s="266">
        <v>56.3</v>
      </c>
      <c r="AS9" s="320">
        <v>56</v>
      </c>
      <c r="AT9" s="320">
        <v>60.6</v>
      </c>
      <c r="AU9" s="266">
        <v>69.8</v>
      </c>
      <c r="AV9" s="323">
        <f t="shared" si="16"/>
        <v>242.7</v>
      </c>
      <c r="AW9" s="572">
        <v>65.5</v>
      </c>
      <c r="AX9" s="320">
        <v>66</v>
      </c>
      <c r="AY9" s="320">
        <v>70.7</v>
      </c>
      <c r="AZ9" s="266">
        <v>79.900000000000006</v>
      </c>
      <c r="BA9" s="323">
        <f t="shared" si="17"/>
        <v>282.10000000000002</v>
      </c>
      <c r="BB9" s="572">
        <v>74.599999999999994</v>
      </c>
      <c r="BC9" s="320"/>
      <c r="BD9" s="320"/>
      <c r="BE9" s="266"/>
      <c r="BF9" s="323">
        <f t="shared" si="18"/>
        <v>74.599999999999994</v>
      </c>
    </row>
    <row r="10" spans="1:58" s="331" customFormat="1" ht="20.100000000000001" customHeight="1" thickBot="1">
      <c r="A10" s="314" t="s">
        <v>67</v>
      </c>
      <c r="B10" s="314" t="s">
        <v>246</v>
      </c>
      <c r="C10" s="327">
        <f t="shared" ref="C10:AA10" si="19">SUM(C11:C18)</f>
        <v>-464.5</v>
      </c>
      <c r="D10" s="327">
        <f t="shared" si="19"/>
        <v>-499.7</v>
      </c>
      <c r="E10" s="327">
        <f t="shared" si="19"/>
        <v>-444.9</v>
      </c>
      <c r="F10" s="327">
        <f t="shared" si="19"/>
        <v>-562.4</v>
      </c>
      <c r="G10" s="328">
        <f t="shared" si="19"/>
        <v>-1971.5000000000002</v>
      </c>
      <c r="H10" s="329">
        <f t="shared" si="19"/>
        <v>-512.92000000000007</v>
      </c>
      <c r="I10" s="327">
        <f t="shared" si="19"/>
        <v>-542.4</v>
      </c>
      <c r="J10" s="327">
        <f t="shared" si="19"/>
        <v>-510.7</v>
      </c>
      <c r="K10" s="327">
        <f t="shared" si="19"/>
        <v>-591.70000000000005</v>
      </c>
      <c r="L10" s="328">
        <f t="shared" si="19"/>
        <v>-2157.7199999999998</v>
      </c>
      <c r="M10" s="329">
        <f t="shared" si="19"/>
        <v>-507.40000000000003</v>
      </c>
      <c r="N10" s="327">
        <f t="shared" si="19"/>
        <v>-1351.8000000000002</v>
      </c>
      <c r="O10" s="327">
        <f t="shared" si="19"/>
        <v>-1992.5000000000002</v>
      </c>
      <c r="P10" s="327">
        <f t="shared" si="19"/>
        <v>-2125.3999999999996</v>
      </c>
      <c r="Q10" s="330">
        <f t="shared" si="19"/>
        <v>-5977.1</v>
      </c>
      <c r="R10" s="327">
        <f t="shared" si="19"/>
        <v>-1909</v>
      </c>
      <c r="S10" s="327">
        <f t="shared" si="19"/>
        <v>-1899.4999999999998</v>
      </c>
      <c r="T10" s="327">
        <f t="shared" si="19"/>
        <v>-1900.1</v>
      </c>
      <c r="U10" s="327">
        <f t="shared" si="19"/>
        <v>-2159.2999999999997</v>
      </c>
      <c r="V10" s="330">
        <f t="shared" si="19"/>
        <v>-7867.9000000000005</v>
      </c>
      <c r="W10" s="327">
        <f t="shared" si="19"/>
        <v>-1948</v>
      </c>
      <c r="X10" s="327">
        <f t="shared" si="19"/>
        <v>-2042</v>
      </c>
      <c r="Y10" s="267">
        <f t="shared" si="19"/>
        <v>-1938.6999999999998</v>
      </c>
      <c r="Z10" s="267">
        <f t="shared" si="19"/>
        <v>-2140.6</v>
      </c>
      <c r="AA10" s="330">
        <f t="shared" si="19"/>
        <v>-8069.2999999999993</v>
      </c>
      <c r="AB10" s="327">
        <f>SUM(AB11:AB18)</f>
        <v>-1938.1999999999996</v>
      </c>
      <c r="AC10" s="327">
        <f>SUM(AC11:AC18)</f>
        <v>-1962.8000000000002</v>
      </c>
      <c r="AD10" s="327">
        <f>SUM(AD11:AD18)</f>
        <v>-1975.7</v>
      </c>
      <c r="AE10" s="327">
        <f t="shared" ref="AE10:AF10" si="20">SUM(AE11:AE18)</f>
        <v>-2139.1999999999998</v>
      </c>
      <c r="AF10" s="330">
        <f t="shared" si="20"/>
        <v>-8015.9</v>
      </c>
      <c r="AG10" s="327">
        <f>SUM(AG11:AG18)</f>
        <v>-1903.1000000000001</v>
      </c>
      <c r="AH10" s="327">
        <f>SUM(AH11:AH18)</f>
        <v>-1986.5000000000002</v>
      </c>
      <c r="AI10" s="327">
        <f>SUM(AI11:AI18)</f>
        <v>-2044</v>
      </c>
      <c r="AJ10" s="228">
        <f t="shared" ref="AJ10:AK10" si="21">SUM(AJ11:AJ18)</f>
        <v>-2266</v>
      </c>
      <c r="AK10" s="555">
        <f t="shared" si="21"/>
        <v>-8199.6</v>
      </c>
      <c r="AL10" s="529"/>
      <c r="AM10" s="329">
        <f>SUM(AM11:AM18)</f>
        <v>-1917.1000000000001</v>
      </c>
      <c r="AN10" s="327">
        <f>SUM(AN11:AN18)</f>
        <v>-2127</v>
      </c>
      <c r="AO10" s="327">
        <f>SUM(AO11:AO18)</f>
        <v>-2345.8000000000002</v>
      </c>
      <c r="AP10" s="228">
        <f t="shared" ref="AP10:AQ10" si="22">SUM(AP11:AP18)</f>
        <v>-2588.9</v>
      </c>
      <c r="AQ10" s="330">
        <f t="shared" si="22"/>
        <v>-8978.7999999999993</v>
      </c>
      <c r="AR10" s="329">
        <f>SUM(AR11:AR18)</f>
        <v>-2317.1</v>
      </c>
      <c r="AS10" s="327">
        <f>SUM(AS11:AS18)</f>
        <v>-2404.4</v>
      </c>
      <c r="AT10" s="327">
        <f>SUM(AT11:AT18)</f>
        <v>-2433.0000000000005</v>
      </c>
      <c r="AU10" s="327">
        <f>SUM(AU11:AU18)</f>
        <v>-2592.9999999999995</v>
      </c>
      <c r="AV10" s="330">
        <f t="shared" ref="AV10" si="23">SUM(AV11:AV18)</f>
        <v>-9747.4999999999982</v>
      </c>
      <c r="AW10" s="329">
        <f>SUM(AW11:AW18)</f>
        <v>-2317.0000000000005</v>
      </c>
      <c r="AX10" s="327">
        <f>SUM(AX11:AX18)</f>
        <v>-2407.2000000000003</v>
      </c>
      <c r="AY10" s="327">
        <f>SUM(AY11:AY18)</f>
        <v>-2436.8000000000002</v>
      </c>
      <c r="AZ10" s="327">
        <f>SUM(AZ11:AZ18)</f>
        <v>-2593.8000000000002</v>
      </c>
      <c r="BA10" s="330">
        <f t="shared" ref="BA10" si="24">SUM(BA11:BA18)</f>
        <v>-9754.7999999999993</v>
      </c>
      <c r="BB10" s="329">
        <f>SUM(BB11:BB18)</f>
        <v>-2392.1111734799997</v>
      </c>
      <c r="BC10" s="327">
        <f>SUM(BC11:BC18)</f>
        <v>0</v>
      </c>
      <c r="BD10" s="327">
        <f>SUM(BD11:BD18)</f>
        <v>0</v>
      </c>
      <c r="BE10" s="327">
        <f>SUM(BE11:BE18)</f>
        <v>0</v>
      </c>
      <c r="BF10" s="330">
        <f t="shared" ref="BF10" si="25">SUM(BF11:BF18)</f>
        <v>-2392.1111734799997</v>
      </c>
    </row>
    <row r="11" spans="1:58" ht="25.5">
      <c r="A11" s="319" t="s">
        <v>80</v>
      </c>
      <c r="B11" s="632" t="s">
        <v>247</v>
      </c>
      <c r="C11" s="332">
        <v>-49.7</v>
      </c>
      <c r="D11" s="332">
        <v>-55.1</v>
      </c>
      <c r="E11" s="332">
        <v>-58.6</v>
      </c>
      <c r="F11" s="332">
        <v>-59.3</v>
      </c>
      <c r="G11" s="333">
        <f>SUM(C11:F11)</f>
        <v>-222.7</v>
      </c>
      <c r="H11" s="334">
        <v>-60.7</v>
      </c>
      <c r="I11" s="332">
        <v>-62</v>
      </c>
      <c r="J11" s="332">
        <v>-62.2</v>
      </c>
      <c r="K11" s="332">
        <v>-71.400000000000006</v>
      </c>
      <c r="L11" s="333">
        <f>SUM(H11:K11)</f>
        <v>-256.3</v>
      </c>
      <c r="M11" s="334">
        <v>-71.300000000000011</v>
      </c>
      <c r="N11" s="332">
        <v>-288</v>
      </c>
      <c r="O11" s="332">
        <v>-495.9</v>
      </c>
      <c r="P11" s="332">
        <v>-557.20000000000005</v>
      </c>
      <c r="Q11" s="335">
        <f>SUM(M11:P11)</f>
        <v>-1412.4</v>
      </c>
      <c r="R11" s="332">
        <v>-482.3</v>
      </c>
      <c r="S11" s="332">
        <v>-522.4</v>
      </c>
      <c r="T11" s="332">
        <v>-551.20000000000005</v>
      </c>
      <c r="U11" s="326">
        <v>-585.09999999999991</v>
      </c>
      <c r="V11" s="335">
        <v>-2141</v>
      </c>
      <c r="W11" s="336">
        <v>-550.29999999999995</v>
      </c>
      <c r="X11" s="336">
        <v>-456.6</v>
      </c>
      <c r="Y11" s="268">
        <v>-459.2</v>
      </c>
      <c r="Z11" s="326">
        <v>-472.6</v>
      </c>
      <c r="AA11" s="335">
        <f>SUM(W11:Z11)</f>
        <v>-1938.6999999999998</v>
      </c>
      <c r="AB11" s="336">
        <v>-468.2</v>
      </c>
      <c r="AC11" s="336">
        <v>-483.5</v>
      </c>
      <c r="AD11" s="268">
        <v>-528.5</v>
      </c>
      <c r="AE11" s="268">
        <v>-533.79999999999995</v>
      </c>
      <c r="AF11" s="335">
        <f t="shared" si="13"/>
        <v>-2014</v>
      </c>
      <c r="AG11" s="336">
        <v>-504.5</v>
      </c>
      <c r="AH11" s="332">
        <v>-521.1</v>
      </c>
      <c r="AI11" s="332">
        <v>-550.29999999999995</v>
      </c>
      <c r="AJ11" s="268">
        <v>-560.1</v>
      </c>
      <c r="AK11" s="556">
        <f t="shared" ref="AK11:AK19" si="26">SUM(AG11:AJ11)</f>
        <v>-2136</v>
      </c>
      <c r="AL11" s="528"/>
      <c r="AM11" s="568">
        <v>-504.5</v>
      </c>
      <c r="AN11" s="332">
        <v>-578.5</v>
      </c>
      <c r="AO11" s="332">
        <v>-674.8</v>
      </c>
      <c r="AP11" s="268">
        <v>-691.10000000000014</v>
      </c>
      <c r="AQ11" s="335">
        <f t="shared" ref="AQ11:AQ19" si="27">SUM(AM11:AP11)</f>
        <v>-2448.9</v>
      </c>
      <c r="AR11" s="568">
        <v>-651.29999999999995</v>
      </c>
      <c r="AS11" s="332">
        <v>-678.4</v>
      </c>
      <c r="AT11" s="332">
        <v>-664.1</v>
      </c>
      <c r="AU11" s="268">
        <v>-670.2</v>
      </c>
      <c r="AV11" s="335">
        <f t="shared" ref="AV11:AV19" si="28">SUM(AR11:AU11)</f>
        <v>-2664</v>
      </c>
      <c r="AW11" s="568">
        <v>-563.79999999999995</v>
      </c>
      <c r="AX11" s="332">
        <v>-591.4</v>
      </c>
      <c r="AY11" s="332">
        <v>-575.79999999999995</v>
      </c>
      <c r="AZ11" s="268">
        <v>-580.29999999999995</v>
      </c>
      <c r="BA11" s="335">
        <f t="shared" ref="BA11:BA19" si="29">SUM(AW11:AZ11)</f>
        <v>-2311.2999999999997</v>
      </c>
      <c r="BB11" s="568">
        <v>-600.79999999999995</v>
      </c>
      <c r="BC11" s="332"/>
      <c r="BD11" s="332"/>
      <c r="BE11" s="268"/>
      <c r="BF11" s="335">
        <f t="shared" ref="BF11:BF19" si="30">SUM(BB11:BE11)</f>
        <v>-600.79999999999995</v>
      </c>
    </row>
    <row r="12" spans="1:58" ht="18.75" customHeight="1">
      <c r="A12" s="319" t="s">
        <v>72</v>
      </c>
      <c r="B12" s="630" t="s">
        <v>248</v>
      </c>
      <c r="C12" s="332">
        <v>-54.4</v>
      </c>
      <c r="D12" s="332">
        <v>-56.7</v>
      </c>
      <c r="E12" s="332">
        <v>-60.2</v>
      </c>
      <c r="F12" s="332">
        <v>-71.7</v>
      </c>
      <c r="G12" s="333">
        <f>SUM(C12:F12)</f>
        <v>-243</v>
      </c>
      <c r="H12" s="334">
        <v>-60.7</v>
      </c>
      <c r="I12" s="332">
        <v>-62.3</v>
      </c>
      <c r="J12" s="332">
        <v>-64.8</v>
      </c>
      <c r="K12" s="332">
        <v>-68.599999999999994</v>
      </c>
      <c r="L12" s="333">
        <f>SUM(H12:K12)</f>
        <v>-256.39999999999998</v>
      </c>
      <c r="M12" s="334">
        <v>-62.5</v>
      </c>
      <c r="N12" s="332">
        <v>-311.3</v>
      </c>
      <c r="O12" s="332">
        <v>-478.3</v>
      </c>
      <c r="P12" s="332">
        <v>-443.8</v>
      </c>
      <c r="Q12" s="335">
        <f>SUM(M12:P12)</f>
        <v>-1295.9000000000001</v>
      </c>
      <c r="R12" s="332">
        <v>-467.9</v>
      </c>
      <c r="S12" s="332">
        <v>-393.5</v>
      </c>
      <c r="T12" s="332">
        <v>-401.2</v>
      </c>
      <c r="U12" s="326">
        <v>-436.70000000000005</v>
      </c>
      <c r="V12" s="335">
        <v>-1699.3</v>
      </c>
      <c r="W12" s="336">
        <v>-423.7</v>
      </c>
      <c r="X12" s="336">
        <v>-527.5</v>
      </c>
      <c r="Y12" s="268">
        <v>-507.9</v>
      </c>
      <c r="Z12" s="326">
        <v>-512.4</v>
      </c>
      <c r="AA12" s="335">
        <f>SUM(W12:Z12)</f>
        <v>-1971.5</v>
      </c>
      <c r="AB12" s="336">
        <v>-472.3</v>
      </c>
      <c r="AC12" s="336">
        <v>-446.7</v>
      </c>
      <c r="AD12" s="268">
        <v>-429.2</v>
      </c>
      <c r="AE12" s="268">
        <v>-434.8</v>
      </c>
      <c r="AF12" s="335">
        <f t="shared" si="13"/>
        <v>-1783</v>
      </c>
      <c r="AG12" s="336">
        <v>-454.5</v>
      </c>
      <c r="AH12" s="332">
        <v>-439.1</v>
      </c>
      <c r="AI12" s="332">
        <v>-452.5</v>
      </c>
      <c r="AJ12" s="268">
        <v>-430.6</v>
      </c>
      <c r="AK12" s="556">
        <f t="shared" si="26"/>
        <v>-1776.6999999999998</v>
      </c>
      <c r="AL12" s="528"/>
      <c r="AM12" s="568">
        <v>-454.5</v>
      </c>
      <c r="AN12" s="332">
        <v>-470.8</v>
      </c>
      <c r="AO12" s="332">
        <v>-523.5</v>
      </c>
      <c r="AP12" s="268">
        <v>-521.90000000000009</v>
      </c>
      <c r="AQ12" s="335">
        <f t="shared" si="27"/>
        <v>-1970.7</v>
      </c>
      <c r="AR12" s="568">
        <v>-440.1</v>
      </c>
      <c r="AS12" s="332">
        <v>-444.6</v>
      </c>
      <c r="AT12" s="332">
        <v>-448.5</v>
      </c>
      <c r="AU12" s="268">
        <v>-453.2</v>
      </c>
      <c r="AV12" s="335">
        <f t="shared" si="28"/>
        <v>-1786.4</v>
      </c>
      <c r="AW12" s="568">
        <v>-547.1</v>
      </c>
      <c r="AX12" s="332">
        <v>-553.6</v>
      </c>
      <c r="AY12" s="332">
        <v>-561.5</v>
      </c>
      <c r="AZ12" s="268">
        <v>-567.5</v>
      </c>
      <c r="BA12" s="335">
        <f t="shared" si="29"/>
        <v>-2229.6999999999998</v>
      </c>
      <c r="BB12" s="568">
        <v>-564.5</v>
      </c>
      <c r="BC12" s="332"/>
      <c r="BD12" s="332"/>
      <c r="BE12" s="268"/>
      <c r="BF12" s="335">
        <f t="shared" si="30"/>
        <v>-564.5</v>
      </c>
    </row>
    <row r="13" spans="1:58" ht="18.75" customHeight="1">
      <c r="A13" s="319" t="s">
        <v>81</v>
      </c>
      <c r="B13" s="630" t="s">
        <v>249</v>
      </c>
      <c r="C13" s="332">
        <v>-5.5</v>
      </c>
      <c r="D13" s="332">
        <v>-7.6</v>
      </c>
      <c r="E13" s="332">
        <v>-7</v>
      </c>
      <c r="F13" s="332">
        <v>-16.100000000000001</v>
      </c>
      <c r="G13" s="333">
        <f>SUM(C13:F13)</f>
        <v>-36.200000000000003</v>
      </c>
      <c r="H13" s="334">
        <v>-25.8</v>
      </c>
      <c r="I13" s="332">
        <v>-16.8</v>
      </c>
      <c r="J13" s="332">
        <v>-10.7</v>
      </c>
      <c r="K13" s="332">
        <v>-10.6</v>
      </c>
      <c r="L13" s="333">
        <f>SUM(H13:K13)</f>
        <v>-63.9</v>
      </c>
      <c r="M13" s="334">
        <v>-10.300000000000011</v>
      </c>
      <c r="N13" s="332">
        <v>-189.7</v>
      </c>
      <c r="O13" s="332">
        <v>-348.6</v>
      </c>
      <c r="P13" s="332">
        <v>-376.6</v>
      </c>
      <c r="Q13" s="335">
        <f>SUM(M13:P13)</f>
        <v>-925.2</v>
      </c>
      <c r="R13" s="332">
        <v>-332.5</v>
      </c>
      <c r="S13" s="332">
        <v>-291.7</v>
      </c>
      <c r="T13" s="332">
        <v>-314.89999999999998</v>
      </c>
      <c r="U13" s="326">
        <v>-393.59999999999991</v>
      </c>
      <c r="V13" s="335">
        <v>-1332.8</v>
      </c>
      <c r="W13" s="336">
        <v>-326.8</v>
      </c>
      <c r="X13" s="336">
        <v>-317.3</v>
      </c>
      <c r="Y13" s="268">
        <v>-330.5</v>
      </c>
      <c r="Z13" s="326">
        <v>-380.1</v>
      </c>
      <c r="AA13" s="335">
        <f>SUM(W13:Z13)</f>
        <v>-1354.7</v>
      </c>
      <c r="AB13" s="336">
        <v>-323.60000000000002</v>
      </c>
      <c r="AC13" s="336">
        <v>-318.8</v>
      </c>
      <c r="AD13" s="268">
        <v>-323.3</v>
      </c>
      <c r="AE13" s="268">
        <v>-357.9</v>
      </c>
      <c r="AF13" s="335">
        <f t="shared" si="13"/>
        <v>-1323.6</v>
      </c>
      <c r="AG13" s="336">
        <v>-258.5</v>
      </c>
      <c r="AH13" s="332">
        <v>-275.2</v>
      </c>
      <c r="AI13" s="332">
        <v>-277.3</v>
      </c>
      <c r="AJ13" s="268">
        <v>-331.7</v>
      </c>
      <c r="AK13" s="556">
        <f t="shared" si="26"/>
        <v>-1142.7</v>
      </c>
      <c r="AL13" s="528"/>
      <c r="AM13" s="568">
        <v>-272.5</v>
      </c>
      <c r="AN13" s="332">
        <v>-282.5</v>
      </c>
      <c r="AO13" s="332">
        <v>-281.10000000000002</v>
      </c>
      <c r="AP13" s="268">
        <v>-338.1</v>
      </c>
      <c r="AQ13" s="335">
        <f t="shared" si="27"/>
        <v>-1174.2</v>
      </c>
      <c r="AR13" s="568">
        <v>-289.39999999999998</v>
      </c>
      <c r="AS13" s="332">
        <v>-321.7</v>
      </c>
      <c r="AT13" s="332">
        <v>-340.7</v>
      </c>
      <c r="AU13" s="268">
        <v>-368.6</v>
      </c>
      <c r="AV13" s="335">
        <f t="shared" si="28"/>
        <v>-1320.4</v>
      </c>
      <c r="AW13" s="568">
        <v>-289.39999999999998</v>
      </c>
      <c r="AX13" s="332">
        <v>-321.7</v>
      </c>
      <c r="AY13" s="332">
        <v>-340.7</v>
      </c>
      <c r="AZ13" s="268">
        <v>-368.6</v>
      </c>
      <c r="BA13" s="335">
        <f t="shared" si="29"/>
        <v>-1320.4</v>
      </c>
      <c r="BB13" s="568">
        <v>-282.3</v>
      </c>
      <c r="BC13" s="332"/>
      <c r="BD13" s="332"/>
      <c r="BE13" s="268"/>
      <c r="BF13" s="335">
        <f t="shared" si="30"/>
        <v>-282.3</v>
      </c>
    </row>
    <row r="14" spans="1:58" ht="20.100000000000001" customHeight="1">
      <c r="A14" s="319" t="s">
        <v>78</v>
      </c>
      <c r="B14" s="630" t="s">
        <v>250</v>
      </c>
      <c r="C14" s="332">
        <v>-206.8</v>
      </c>
      <c r="D14" s="332">
        <v>-226.6</v>
      </c>
      <c r="E14" s="332">
        <v>-171.5</v>
      </c>
      <c r="F14" s="332">
        <v>-219</v>
      </c>
      <c r="G14" s="333">
        <f>SUM(C14:F14)</f>
        <v>-823.9</v>
      </c>
      <c r="H14" s="334">
        <v>-207.5</v>
      </c>
      <c r="I14" s="332">
        <v>-239.5</v>
      </c>
      <c r="J14" s="332">
        <v>-219.3</v>
      </c>
      <c r="K14" s="332">
        <v>-260.7</v>
      </c>
      <c r="L14" s="333">
        <f>SUM(H14:K14)</f>
        <v>-927</v>
      </c>
      <c r="M14" s="334">
        <v>-210.60000000000002</v>
      </c>
      <c r="N14" s="332">
        <v>-260.89999999999998</v>
      </c>
      <c r="O14" s="332">
        <v>-262.39999999999998</v>
      </c>
      <c r="P14" s="332">
        <v>-295.60000000000002</v>
      </c>
      <c r="Q14" s="335">
        <f>SUM(M14:P14)</f>
        <v>-1029.5</v>
      </c>
      <c r="R14" s="332">
        <v>-235.5</v>
      </c>
      <c r="S14" s="332">
        <v>-274</v>
      </c>
      <c r="T14" s="332">
        <v>-257.3</v>
      </c>
      <c r="U14" s="326">
        <v>-299.10000000000014</v>
      </c>
      <c r="V14" s="335">
        <v>-1065.9000000000001</v>
      </c>
      <c r="W14" s="336">
        <v>-248.5</v>
      </c>
      <c r="X14" s="336">
        <v>-316.3</v>
      </c>
      <c r="Y14" s="268">
        <v>-252.1</v>
      </c>
      <c r="Z14" s="326">
        <v>-297.3</v>
      </c>
      <c r="AA14" s="335">
        <f>SUM(W14:Z14)</f>
        <v>-1114.2</v>
      </c>
      <c r="AB14" s="336">
        <v>-264.3</v>
      </c>
      <c r="AC14" s="336">
        <v>-298.39999999999998</v>
      </c>
      <c r="AD14" s="268">
        <v>-269.7</v>
      </c>
      <c r="AE14" s="268">
        <v>-321.2</v>
      </c>
      <c r="AF14" s="335">
        <f t="shared" si="13"/>
        <v>-1153.6000000000001</v>
      </c>
      <c r="AG14" s="336">
        <v>-269.39999999999998</v>
      </c>
      <c r="AH14" s="332">
        <v>-316.8</v>
      </c>
      <c r="AI14" s="332">
        <v>-323.5</v>
      </c>
      <c r="AJ14" s="268">
        <v>-406.8</v>
      </c>
      <c r="AK14" s="556">
        <f t="shared" si="26"/>
        <v>-1316.5</v>
      </c>
      <c r="AL14" s="528"/>
      <c r="AM14" s="568">
        <v>-269.39999999999998</v>
      </c>
      <c r="AN14" s="332">
        <v>-323</v>
      </c>
      <c r="AO14" s="332">
        <v>-338.9</v>
      </c>
      <c r="AP14" s="268">
        <v>-424</v>
      </c>
      <c r="AQ14" s="335">
        <f t="shared" si="27"/>
        <v>-1355.3</v>
      </c>
      <c r="AR14" s="568">
        <v>-369</v>
      </c>
      <c r="AS14" s="332">
        <v>-418</v>
      </c>
      <c r="AT14" s="332">
        <v>-423</v>
      </c>
      <c r="AU14" s="268">
        <v>-456.9</v>
      </c>
      <c r="AV14" s="335">
        <f t="shared" si="28"/>
        <v>-1666.9</v>
      </c>
      <c r="AW14" s="568">
        <v>-366.9</v>
      </c>
      <c r="AX14" s="332">
        <v>-415.8</v>
      </c>
      <c r="AY14" s="332">
        <v>-421</v>
      </c>
      <c r="AZ14" s="268">
        <v>-454.8</v>
      </c>
      <c r="BA14" s="335">
        <f t="shared" si="29"/>
        <v>-1658.5</v>
      </c>
      <c r="BB14" s="568">
        <v>-388.8</v>
      </c>
      <c r="BC14" s="332"/>
      <c r="BD14" s="332"/>
      <c r="BE14" s="268"/>
      <c r="BF14" s="335">
        <f t="shared" si="30"/>
        <v>-388.8</v>
      </c>
    </row>
    <row r="15" spans="1:58" ht="25.5">
      <c r="A15" s="319" t="s">
        <v>79</v>
      </c>
      <c r="B15" s="633" t="s">
        <v>251</v>
      </c>
      <c r="C15" s="332">
        <v>-71.5</v>
      </c>
      <c r="D15" s="332">
        <v>-71.8</v>
      </c>
      <c r="E15" s="332">
        <v>-73.7</v>
      </c>
      <c r="F15" s="332">
        <v>-95.7</v>
      </c>
      <c r="G15" s="333">
        <f>SUM(C15:F15)</f>
        <v>-312.7</v>
      </c>
      <c r="H15" s="334">
        <v>-79</v>
      </c>
      <c r="I15" s="332">
        <v>-81.3</v>
      </c>
      <c r="J15" s="332">
        <v>-79.3</v>
      </c>
      <c r="K15" s="332">
        <v>-92.4</v>
      </c>
      <c r="L15" s="333">
        <f>SUM(H15:K15)</f>
        <v>-332</v>
      </c>
      <c r="M15" s="334">
        <v>-75.400000000000006</v>
      </c>
      <c r="N15" s="332">
        <v>-132.19999999999999</v>
      </c>
      <c r="O15" s="332">
        <v>-186.8</v>
      </c>
      <c r="P15" s="332">
        <v>-218.3</v>
      </c>
      <c r="Q15" s="335">
        <f>SUM(M15:P15)</f>
        <v>-612.70000000000005</v>
      </c>
      <c r="R15" s="332">
        <v>-189.2</v>
      </c>
      <c r="S15" s="332">
        <v>-193.2</v>
      </c>
      <c r="T15" s="332">
        <v>-200.1</v>
      </c>
      <c r="U15" s="326">
        <v>-220.1</v>
      </c>
      <c r="V15" s="335">
        <v>-802.6</v>
      </c>
      <c r="W15" s="336">
        <v>-200.5</v>
      </c>
      <c r="X15" s="336">
        <v>-202.2</v>
      </c>
      <c r="Y15" s="268">
        <v>-202.6</v>
      </c>
      <c r="Z15" s="326">
        <v>-222.5</v>
      </c>
      <c r="AA15" s="335">
        <f>SUM(W15:Z15)</f>
        <v>-827.8</v>
      </c>
      <c r="AB15" s="336">
        <v>-211.1</v>
      </c>
      <c r="AC15" s="336">
        <v>-215.9</v>
      </c>
      <c r="AD15" s="268">
        <v>-224</v>
      </c>
      <c r="AE15" s="268">
        <v>-243.3</v>
      </c>
      <c r="AF15" s="335">
        <f t="shared" si="13"/>
        <v>-894.3</v>
      </c>
      <c r="AG15" s="336">
        <v>-205.2</v>
      </c>
      <c r="AH15" s="332">
        <v>-214.9</v>
      </c>
      <c r="AI15" s="332">
        <v>-217.1</v>
      </c>
      <c r="AJ15" s="268">
        <v>-265.60000000000002</v>
      </c>
      <c r="AK15" s="556">
        <f t="shared" si="26"/>
        <v>-902.80000000000007</v>
      </c>
      <c r="AL15" s="528"/>
      <c r="AM15" s="568">
        <v>-205.2</v>
      </c>
      <c r="AN15" s="332">
        <v>-223.5</v>
      </c>
      <c r="AO15" s="332">
        <v>-236.5</v>
      </c>
      <c r="AP15" s="268">
        <v>-268.69999999999993</v>
      </c>
      <c r="AQ15" s="335">
        <f t="shared" si="27"/>
        <v>-933.9</v>
      </c>
      <c r="AR15" s="568">
        <v>-249.5</v>
      </c>
      <c r="AS15" s="332">
        <v>-245.6</v>
      </c>
      <c r="AT15" s="332">
        <v>-261</v>
      </c>
      <c r="AU15" s="268">
        <v>-282.7</v>
      </c>
      <c r="AV15" s="335">
        <f t="shared" si="28"/>
        <v>-1038.8</v>
      </c>
      <c r="AW15" s="568">
        <v>-244.8</v>
      </c>
      <c r="AX15" s="332">
        <v>-241.8</v>
      </c>
      <c r="AY15" s="332">
        <v>-256.60000000000002</v>
      </c>
      <c r="AZ15" s="268">
        <v>-278.10000000000002</v>
      </c>
      <c r="BA15" s="335">
        <f t="shared" si="29"/>
        <v>-1021.3000000000001</v>
      </c>
      <c r="BB15" s="568">
        <v>-224.4</v>
      </c>
      <c r="BC15" s="332"/>
      <c r="BD15" s="332"/>
      <c r="BE15" s="268"/>
      <c r="BF15" s="335">
        <f t="shared" si="30"/>
        <v>-224.4</v>
      </c>
    </row>
    <row r="16" spans="1:58" ht="20.100000000000001" customHeight="1">
      <c r="A16" s="319" t="s">
        <v>1</v>
      </c>
      <c r="B16" s="630" t="s">
        <v>252</v>
      </c>
      <c r="C16" s="332">
        <v>-40.6</v>
      </c>
      <c r="D16" s="332">
        <v>-40.299999999999997</v>
      </c>
      <c r="E16" s="332">
        <v>-38.9</v>
      </c>
      <c r="F16" s="332">
        <v>-58.6</v>
      </c>
      <c r="G16" s="333">
        <f t="shared" ref="G16:G19" si="31">SUM(C16:F16)</f>
        <v>-178.4</v>
      </c>
      <c r="H16" s="334">
        <v>-43.1</v>
      </c>
      <c r="I16" s="332">
        <v>-41.9</v>
      </c>
      <c r="J16" s="332">
        <v>-40.4</v>
      </c>
      <c r="K16" s="332">
        <v>-53.2</v>
      </c>
      <c r="L16" s="333">
        <f t="shared" ref="L16:L19" si="32">SUM(H16:K16)</f>
        <v>-178.60000000000002</v>
      </c>
      <c r="M16" s="334">
        <v>-44.600000000000009</v>
      </c>
      <c r="N16" s="332">
        <v>-108.2</v>
      </c>
      <c r="O16" s="332">
        <v>-118</v>
      </c>
      <c r="P16" s="332">
        <v>-150.9</v>
      </c>
      <c r="Q16" s="335">
        <f t="shared" ref="Q16:Q19" si="33">SUM(M16:P16)</f>
        <v>-421.70000000000005</v>
      </c>
      <c r="R16" s="332">
        <v>-129.1</v>
      </c>
      <c r="S16" s="332">
        <v>-140.80000000000001</v>
      </c>
      <c r="T16" s="332">
        <v>-122.3</v>
      </c>
      <c r="U16" s="326">
        <v>-158.00000000000006</v>
      </c>
      <c r="V16" s="335">
        <v>-550.20000000000005</v>
      </c>
      <c r="W16" s="336">
        <v>-137.9</v>
      </c>
      <c r="X16" s="336">
        <v>-138.19999999999999</v>
      </c>
      <c r="Y16" s="268">
        <v>-130.5</v>
      </c>
      <c r="Z16" s="326">
        <v>-163.9</v>
      </c>
      <c r="AA16" s="335">
        <f t="shared" si="12"/>
        <v>-570.5</v>
      </c>
      <c r="AB16" s="336">
        <v>-127.8</v>
      </c>
      <c r="AC16" s="336">
        <v>-133.69999999999999</v>
      </c>
      <c r="AD16" s="268">
        <v>-127.4</v>
      </c>
      <c r="AE16" s="268">
        <v>-164.2</v>
      </c>
      <c r="AF16" s="335">
        <f t="shared" si="13"/>
        <v>-553.09999999999991</v>
      </c>
      <c r="AG16" s="336">
        <v>-143.80000000000001</v>
      </c>
      <c r="AH16" s="332">
        <v>-146</v>
      </c>
      <c r="AI16" s="332">
        <v>-137</v>
      </c>
      <c r="AJ16" s="268">
        <v>-184.2</v>
      </c>
      <c r="AK16" s="556">
        <f t="shared" si="26"/>
        <v>-611</v>
      </c>
      <c r="AL16" s="530"/>
      <c r="AM16" s="568">
        <v>-143.80000000000001</v>
      </c>
      <c r="AN16" s="332">
        <v>-169.3</v>
      </c>
      <c r="AO16" s="332">
        <v>-187.1</v>
      </c>
      <c r="AP16" s="268">
        <v>-238.7</v>
      </c>
      <c r="AQ16" s="335">
        <f t="shared" si="27"/>
        <v>-738.90000000000009</v>
      </c>
      <c r="AR16" s="568">
        <v>-212.6</v>
      </c>
      <c r="AS16" s="332">
        <v>-205.6</v>
      </c>
      <c r="AT16" s="332">
        <v>-199.3</v>
      </c>
      <c r="AU16" s="268">
        <v>-253.1</v>
      </c>
      <c r="AV16" s="335">
        <f t="shared" si="28"/>
        <v>-870.6</v>
      </c>
      <c r="AW16" s="568">
        <v>-212.6</v>
      </c>
      <c r="AX16" s="332">
        <v>-205.6</v>
      </c>
      <c r="AY16" s="332">
        <v>-199.3</v>
      </c>
      <c r="AZ16" s="268">
        <v>-253.1</v>
      </c>
      <c r="BA16" s="335">
        <f t="shared" si="29"/>
        <v>-870.6</v>
      </c>
      <c r="BB16" s="568">
        <v>-221.9</v>
      </c>
      <c r="BC16" s="332"/>
      <c r="BD16" s="332"/>
      <c r="BE16" s="268"/>
      <c r="BF16" s="335">
        <f t="shared" si="30"/>
        <v>-221.9</v>
      </c>
    </row>
    <row r="17" spans="1:58" ht="24.75" customHeight="1">
      <c r="A17" s="319" t="s">
        <v>82</v>
      </c>
      <c r="B17" s="634" t="s">
        <v>253</v>
      </c>
      <c r="C17" s="332">
        <v>-5.9</v>
      </c>
      <c r="D17" s="332">
        <v>-8.4</v>
      </c>
      <c r="E17" s="332">
        <v>-5.3</v>
      </c>
      <c r="F17" s="332">
        <v>-7.8</v>
      </c>
      <c r="G17" s="333">
        <f t="shared" si="31"/>
        <v>-27.400000000000002</v>
      </c>
      <c r="H17" s="334">
        <v>-6.42</v>
      </c>
      <c r="I17" s="332">
        <v>-9.3000000000000007</v>
      </c>
      <c r="J17" s="332">
        <v>-5.3</v>
      </c>
      <c r="K17" s="332">
        <v>-7.2</v>
      </c>
      <c r="L17" s="333">
        <f t="shared" si="32"/>
        <v>-28.22</v>
      </c>
      <c r="M17" s="334">
        <v>-6.6999999999999993</v>
      </c>
      <c r="N17" s="332">
        <v>-18.100000000000001</v>
      </c>
      <c r="O17" s="332">
        <v>-15.3</v>
      </c>
      <c r="P17" s="332">
        <v>-27.5</v>
      </c>
      <c r="Q17" s="335">
        <f t="shared" si="33"/>
        <v>-67.599999999999994</v>
      </c>
      <c r="R17" s="332">
        <v>-18.7</v>
      </c>
      <c r="S17" s="332">
        <v>-27.8</v>
      </c>
      <c r="T17" s="332">
        <v>-8.5</v>
      </c>
      <c r="U17" s="326">
        <v>-7.6000000000000014</v>
      </c>
      <c r="V17" s="335">
        <v>-62.6</v>
      </c>
      <c r="W17" s="336">
        <v>-9.6</v>
      </c>
      <c r="X17" s="336">
        <v>-16.3</v>
      </c>
      <c r="Y17" s="268">
        <v>-5.7</v>
      </c>
      <c r="Z17" s="326">
        <v>-15.3</v>
      </c>
      <c r="AA17" s="335">
        <f t="shared" si="12"/>
        <v>-46.9</v>
      </c>
      <c r="AB17" s="336">
        <v>-19.3</v>
      </c>
      <c r="AC17" s="336">
        <v>-16.3</v>
      </c>
      <c r="AD17" s="268">
        <v>-21.3</v>
      </c>
      <c r="AE17" s="268">
        <v>-10.5</v>
      </c>
      <c r="AF17" s="335">
        <f t="shared" si="13"/>
        <v>-67.400000000000006</v>
      </c>
      <c r="AG17" s="336">
        <v>-11.9</v>
      </c>
      <c r="AH17" s="332">
        <v>-18.2</v>
      </c>
      <c r="AI17" s="332">
        <v>-32.9</v>
      </c>
      <c r="AJ17" s="268">
        <v>-19</v>
      </c>
      <c r="AK17" s="556">
        <f t="shared" si="26"/>
        <v>-82</v>
      </c>
      <c r="AL17" s="528"/>
      <c r="AM17" s="568">
        <v>-11.9</v>
      </c>
      <c r="AN17" s="332">
        <v>-17.600000000000001</v>
      </c>
      <c r="AO17" s="332">
        <v>-34.799999999999997</v>
      </c>
      <c r="AP17" s="268">
        <v>-19.600000000000009</v>
      </c>
      <c r="AQ17" s="335">
        <f t="shared" si="27"/>
        <v>-83.9</v>
      </c>
      <c r="AR17" s="568">
        <v>-34.6</v>
      </c>
      <c r="AS17" s="332">
        <v>-16.899999999999999</v>
      </c>
      <c r="AT17" s="332">
        <v>-19.8</v>
      </c>
      <c r="AU17" s="268">
        <v>-27.6</v>
      </c>
      <c r="AV17" s="335">
        <f t="shared" si="28"/>
        <v>-98.9</v>
      </c>
      <c r="AW17" s="568">
        <v>-34.6</v>
      </c>
      <c r="AX17" s="332">
        <v>-16.899999999999999</v>
      </c>
      <c r="AY17" s="332">
        <v>-19.8</v>
      </c>
      <c r="AZ17" s="268">
        <v>-27.6</v>
      </c>
      <c r="BA17" s="335">
        <f t="shared" si="29"/>
        <v>-98.9</v>
      </c>
      <c r="BB17" s="568">
        <v>-44.311173479999866</v>
      </c>
      <c r="BC17" s="332"/>
      <c r="BD17" s="332"/>
      <c r="BE17" s="268"/>
      <c r="BF17" s="335">
        <f t="shared" si="30"/>
        <v>-44.311173479999866</v>
      </c>
    </row>
    <row r="18" spans="1:58" ht="18.75" customHeight="1" thickBot="1">
      <c r="A18" s="319" t="s">
        <v>83</v>
      </c>
      <c r="B18" s="630" t="s">
        <v>254</v>
      </c>
      <c r="C18" s="332">
        <v>-30.1</v>
      </c>
      <c r="D18" s="332">
        <v>-33.200000000000003</v>
      </c>
      <c r="E18" s="332">
        <v>-29.7</v>
      </c>
      <c r="F18" s="332">
        <v>-34.200000000000003</v>
      </c>
      <c r="G18" s="333">
        <f t="shared" si="31"/>
        <v>-127.2</v>
      </c>
      <c r="H18" s="334">
        <v>-29.7</v>
      </c>
      <c r="I18" s="332">
        <v>-29.3</v>
      </c>
      <c r="J18" s="332">
        <v>-28.7</v>
      </c>
      <c r="K18" s="332">
        <v>-27.6</v>
      </c>
      <c r="L18" s="333">
        <f t="shared" si="32"/>
        <v>-115.30000000000001</v>
      </c>
      <c r="M18" s="334">
        <v>-26.000000000000007</v>
      </c>
      <c r="N18" s="332">
        <v>-43.4</v>
      </c>
      <c r="O18" s="332">
        <v>-87.2</v>
      </c>
      <c r="P18" s="332">
        <v>-55.5</v>
      </c>
      <c r="Q18" s="335">
        <f t="shared" si="33"/>
        <v>-212.10000000000002</v>
      </c>
      <c r="R18" s="332">
        <v>-53.8</v>
      </c>
      <c r="S18" s="332">
        <v>-56.1</v>
      </c>
      <c r="T18" s="332">
        <v>-44.6</v>
      </c>
      <c r="U18" s="326">
        <v>-59.099999999999994</v>
      </c>
      <c r="V18" s="335">
        <v>-213.5</v>
      </c>
      <c r="W18" s="336">
        <v>-50.7</v>
      </c>
      <c r="X18" s="336">
        <v>-67.599999999999994</v>
      </c>
      <c r="Y18" s="268">
        <v>-50.2</v>
      </c>
      <c r="Z18" s="326">
        <v>-76.5</v>
      </c>
      <c r="AA18" s="335">
        <f t="shared" si="12"/>
        <v>-245</v>
      </c>
      <c r="AB18" s="336">
        <v>-51.6</v>
      </c>
      <c r="AC18" s="336">
        <v>-49.5</v>
      </c>
      <c r="AD18" s="268">
        <v>-52.3</v>
      </c>
      <c r="AE18" s="268">
        <v>-73.5</v>
      </c>
      <c r="AF18" s="335">
        <f t="shared" si="13"/>
        <v>-226.89999999999998</v>
      </c>
      <c r="AG18" s="336">
        <v>-55.3</v>
      </c>
      <c r="AH18" s="332">
        <v>-55.2</v>
      </c>
      <c r="AI18" s="332">
        <v>-53.4</v>
      </c>
      <c r="AJ18" s="268">
        <v>-68</v>
      </c>
      <c r="AK18" s="556">
        <f t="shared" si="26"/>
        <v>-231.9</v>
      </c>
      <c r="AL18" s="528"/>
      <c r="AM18" s="568">
        <v>-55.3</v>
      </c>
      <c r="AN18" s="332">
        <v>-61.8</v>
      </c>
      <c r="AO18" s="332">
        <v>-69.099999999999994</v>
      </c>
      <c r="AP18" s="268">
        <v>-86.800000000000011</v>
      </c>
      <c r="AQ18" s="335">
        <f t="shared" si="27"/>
        <v>-273</v>
      </c>
      <c r="AR18" s="568">
        <v>-70.599999999999994</v>
      </c>
      <c r="AS18" s="332">
        <v>-73.599999999999994</v>
      </c>
      <c r="AT18" s="332">
        <v>-76.599999999999994</v>
      </c>
      <c r="AU18" s="268">
        <v>-80.7</v>
      </c>
      <c r="AV18" s="335">
        <f t="shared" si="28"/>
        <v>-301.5</v>
      </c>
      <c r="AW18" s="568">
        <v>-57.8</v>
      </c>
      <c r="AX18" s="332">
        <v>-60.4</v>
      </c>
      <c r="AY18" s="332">
        <v>-62.1</v>
      </c>
      <c r="AZ18" s="268">
        <v>-63.8</v>
      </c>
      <c r="BA18" s="335">
        <f t="shared" si="29"/>
        <v>-244.09999999999997</v>
      </c>
      <c r="BB18" s="568">
        <v>-65.099999999999994</v>
      </c>
      <c r="BC18" s="332"/>
      <c r="BD18" s="332"/>
      <c r="BE18" s="268"/>
      <c r="BF18" s="335">
        <f t="shared" si="30"/>
        <v>-65.099999999999994</v>
      </c>
    </row>
    <row r="19" spans="1:58" s="337" customFormat="1" ht="20.100000000000001" customHeight="1" thickBot="1">
      <c r="A19" s="314" t="s">
        <v>173</v>
      </c>
      <c r="B19" s="640" t="s">
        <v>476</v>
      </c>
      <c r="C19" s="327">
        <v>-1.7</v>
      </c>
      <c r="D19" s="327">
        <v>-1.1000000000000001</v>
      </c>
      <c r="E19" s="327">
        <v>-2</v>
      </c>
      <c r="F19" s="327">
        <v>-12.7</v>
      </c>
      <c r="G19" s="368">
        <f t="shared" si="31"/>
        <v>-17.5</v>
      </c>
      <c r="H19" s="329">
        <v>0.5</v>
      </c>
      <c r="I19" s="327">
        <v>1.5</v>
      </c>
      <c r="J19" s="327">
        <v>36.799999999999997</v>
      </c>
      <c r="K19" s="327">
        <v>-2</v>
      </c>
      <c r="L19" s="368">
        <f t="shared" si="32"/>
        <v>36.799999999999997</v>
      </c>
      <c r="M19" s="329">
        <v>3.6</v>
      </c>
      <c r="N19" s="327">
        <v>3.5</v>
      </c>
      <c r="O19" s="327">
        <v>4.7</v>
      </c>
      <c r="P19" s="327">
        <v>-2.2000000000000002</v>
      </c>
      <c r="Q19" s="369">
        <f t="shared" si="33"/>
        <v>9.6000000000000014</v>
      </c>
      <c r="R19" s="327">
        <v>8.6999999999999993</v>
      </c>
      <c r="S19" s="327">
        <v>13.8</v>
      </c>
      <c r="T19" s="327">
        <v>14.4</v>
      </c>
      <c r="U19" s="327">
        <v>-6.2</v>
      </c>
      <c r="V19" s="369">
        <v>30.7</v>
      </c>
      <c r="W19" s="370">
        <v>6.8</v>
      </c>
      <c r="X19" s="370">
        <v>6.6</v>
      </c>
      <c r="Y19" s="371">
        <v>0</v>
      </c>
      <c r="Z19" s="327">
        <v>-4.5999999999999996</v>
      </c>
      <c r="AA19" s="369">
        <f t="shared" si="12"/>
        <v>8.7999999999999989</v>
      </c>
      <c r="AB19" s="370">
        <v>6.8</v>
      </c>
      <c r="AC19" s="370">
        <v>9.9</v>
      </c>
      <c r="AD19" s="371">
        <v>6.7</v>
      </c>
      <c r="AE19" s="327">
        <v>-2.1</v>
      </c>
      <c r="AF19" s="369">
        <f t="shared" si="13"/>
        <v>21.299999999999997</v>
      </c>
      <c r="AG19" s="370">
        <v>6.7</v>
      </c>
      <c r="AH19" s="370">
        <v>-1.9</v>
      </c>
      <c r="AI19" s="447">
        <v>4.5999999999999996</v>
      </c>
      <c r="AJ19" s="327">
        <v>0</v>
      </c>
      <c r="AK19" s="557">
        <f t="shared" si="26"/>
        <v>9.4</v>
      </c>
      <c r="AL19" s="531"/>
      <c r="AM19" s="569">
        <v>6.7</v>
      </c>
      <c r="AN19" s="370">
        <v>-0.6</v>
      </c>
      <c r="AO19" s="448">
        <v>7.3</v>
      </c>
      <c r="AP19" s="327">
        <v>6.2999999999999989</v>
      </c>
      <c r="AQ19" s="369">
        <f t="shared" si="27"/>
        <v>19.7</v>
      </c>
      <c r="AR19" s="569">
        <v>16.600000000000001</v>
      </c>
      <c r="AS19" s="370">
        <v>6.7</v>
      </c>
      <c r="AT19" s="448">
        <v>3.4</v>
      </c>
      <c r="AU19" s="327">
        <v>19</v>
      </c>
      <c r="AV19" s="369">
        <f t="shared" si="28"/>
        <v>45.7</v>
      </c>
      <c r="AW19" s="569">
        <v>16.600000000000001</v>
      </c>
      <c r="AX19" s="370">
        <v>6.7</v>
      </c>
      <c r="AY19" s="448">
        <v>3.4</v>
      </c>
      <c r="AZ19" s="327">
        <v>19</v>
      </c>
      <c r="BA19" s="369">
        <f t="shared" si="29"/>
        <v>45.7</v>
      </c>
      <c r="BB19" s="569">
        <v>5.8</v>
      </c>
      <c r="BC19" s="370"/>
      <c r="BD19" s="448"/>
      <c r="BE19" s="327"/>
      <c r="BF19" s="369">
        <f t="shared" si="30"/>
        <v>5.8</v>
      </c>
    </row>
    <row r="20" spans="1:58" s="331" customFormat="1" ht="20.100000000000001" customHeight="1" thickBot="1">
      <c r="A20" s="314" t="s">
        <v>48</v>
      </c>
      <c r="B20" s="640" t="s">
        <v>255</v>
      </c>
      <c r="C20" s="327">
        <f t="shared" ref="C20:AG20" si="34">C5+C10+C19</f>
        <v>203.00000000000006</v>
      </c>
      <c r="D20" s="327">
        <f t="shared" si="34"/>
        <v>212.99999999999997</v>
      </c>
      <c r="E20" s="327">
        <f t="shared" si="34"/>
        <v>197.60000000000002</v>
      </c>
      <c r="F20" s="327">
        <f t="shared" si="34"/>
        <v>175.50000000000017</v>
      </c>
      <c r="G20" s="338">
        <f t="shared" si="34"/>
        <v>789.09999999999923</v>
      </c>
      <c r="H20" s="317">
        <f t="shared" si="34"/>
        <v>184.67999999999995</v>
      </c>
      <c r="I20" s="315">
        <f t="shared" si="34"/>
        <v>195</v>
      </c>
      <c r="J20" s="315">
        <f t="shared" si="34"/>
        <v>203.39999999999998</v>
      </c>
      <c r="K20" s="315">
        <f t="shared" si="34"/>
        <v>206.79999999999995</v>
      </c>
      <c r="L20" s="338">
        <f t="shared" si="34"/>
        <v>789.88000000000034</v>
      </c>
      <c r="M20" s="317">
        <f t="shared" si="34"/>
        <v>219.4999999999998</v>
      </c>
      <c r="N20" s="315">
        <f t="shared" si="34"/>
        <v>397.59999999999991</v>
      </c>
      <c r="O20" s="315">
        <f t="shared" si="34"/>
        <v>431.79999999999967</v>
      </c>
      <c r="P20" s="315">
        <f t="shared" si="34"/>
        <v>393.50000000000074</v>
      </c>
      <c r="Q20" s="339">
        <f t="shared" si="34"/>
        <v>1442.3999999999992</v>
      </c>
      <c r="R20" s="315">
        <f t="shared" si="34"/>
        <v>428.7</v>
      </c>
      <c r="S20" s="315">
        <f t="shared" si="34"/>
        <v>583.5</v>
      </c>
      <c r="T20" s="315">
        <f t="shared" si="34"/>
        <v>529.1999999999997</v>
      </c>
      <c r="U20" s="315">
        <f t="shared" si="34"/>
        <v>444.40000000000038</v>
      </c>
      <c r="V20" s="339">
        <f t="shared" si="34"/>
        <v>1985.7999999999995</v>
      </c>
      <c r="W20" s="315">
        <f t="shared" si="34"/>
        <v>422.8</v>
      </c>
      <c r="X20" s="315">
        <f t="shared" si="34"/>
        <v>407.50000000000011</v>
      </c>
      <c r="Y20" s="265">
        <f t="shared" si="34"/>
        <v>449.10000000000036</v>
      </c>
      <c r="Z20" s="265">
        <f t="shared" si="34"/>
        <v>389.9</v>
      </c>
      <c r="AA20" s="339">
        <f t="shared" si="34"/>
        <v>1669.3</v>
      </c>
      <c r="AB20" s="315">
        <f t="shared" si="34"/>
        <v>457.20000000000033</v>
      </c>
      <c r="AC20" s="315">
        <f t="shared" si="34"/>
        <v>516.99999999999989</v>
      </c>
      <c r="AD20" s="315">
        <f t="shared" si="34"/>
        <v>421.90000000000003</v>
      </c>
      <c r="AE20" s="315">
        <f t="shared" si="34"/>
        <v>437.9</v>
      </c>
      <c r="AF20" s="339">
        <f t="shared" si="34"/>
        <v>1834.0000000000007</v>
      </c>
      <c r="AG20" s="370">
        <f t="shared" si="34"/>
        <v>464.29999999999967</v>
      </c>
      <c r="AH20" s="315">
        <f>AH5+AH10+AH19</f>
        <v>488.49999999999989</v>
      </c>
      <c r="AI20" s="315">
        <f>AI5+AI10+AI19</f>
        <v>396.00000000000011</v>
      </c>
      <c r="AJ20" s="228">
        <f>AJ5+AJ10+AJ19</f>
        <v>416</v>
      </c>
      <c r="AK20" s="544">
        <f t="shared" ref="AK20" si="35">AK5+AK10+AK19</f>
        <v>1764.7999999999997</v>
      </c>
      <c r="AL20" s="532"/>
      <c r="AM20" s="317">
        <f t="shared" ref="AM20" si="36">AM5+AM10+AM19</f>
        <v>435.49999999999994</v>
      </c>
      <c r="AN20" s="315">
        <f>AN5+AN10+AN19</f>
        <v>475.5999999999998</v>
      </c>
      <c r="AO20" s="315">
        <f>AO5+AO10+AO19</f>
        <v>396.49999999999983</v>
      </c>
      <c r="AP20" s="228">
        <f t="shared" ref="AP20:AQ20" si="37">AP5+AP10+AP19</f>
        <v>419.39999999999992</v>
      </c>
      <c r="AQ20" s="339">
        <f t="shared" si="37"/>
        <v>1727.000000000003</v>
      </c>
      <c r="AR20" s="317">
        <f>AR5+AR10+AR19</f>
        <v>481.9000000000002</v>
      </c>
      <c r="AS20" s="315">
        <f>AS5+AS10+AS19</f>
        <v>515.29999999999995</v>
      </c>
      <c r="AT20" s="315">
        <f>AT5+AT10+AT19</f>
        <v>452.6999999999997</v>
      </c>
      <c r="AU20" s="315">
        <f>AU5+AU10+AU19</f>
        <v>485.00000000000091</v>
      </c>
      <c r="AV20" s="339">
        <f t="shared" ref="AV20" si="38">AV5+AV10+AV19</f>
        <v>1934.9000000000026</v>
      </c>
      <c r="AW20" s="317">
        <f>AW5+AW10+AW19</f>
        <v>491.19999999999948</v>
      </c>
      <c r="AX20" s="315">
        <f>AX5+AX10+AX19</f>
        <v>522.49999999999977</v>
      </c>
      <c r="AY20" s="315">
        <f>AY5+AY10+AY19</f>
        <v>458.99999999999989</v>
      </c>
      <c r="AZ20" s="315">
        <f>AZ5+AZ10+AZ19</f>
        <v>494.30000000000018</v>
      </c>
      <c r="BA20" s="339">
        <f t="shared" ref="BA20" si="39">BA5+BA10+BA19</f>
        <v>1967.0000000000011</v>
      </c>
      <c r="BB20" s="317">
        <f>BB5+BB10+BB19</f>
        <v>462.18882651999985</v>
      </c>
      <c r="BC20" s="315">
        <f>BC5+BC10+BC19</f>
        <v>0</v>
      </c>
      <c r="BD20" s="315">
        <f>BD5+BD10+BD19</f>
        <v>0</v>
      </c>
      <c r="BE20" s="315">
        <f>BE5+BE10+BE19</f>
        <v>0</v>
      </c>
      <c r="BF20" s="339">
        <f t="shared" ref="BF20" si="40">BF5+BF10+BF19</f>
        <v>462.18882651999985</v>
      </c>
    </row>
    <row r="21" spans="1:58" ht="20.100000000000001" customHeight="1">
      <c r="A21" s="319" t="s">
        <v>172</v>
      </c>
      <c r="B21" s="635" t="s">
        <v>256</v>
      </c>
      <c r="C21" s="332">
        <v>12.5</v>
      </c>
      <c r="D21" s="332">
        <v>-8.5</v>
      </c>
      <c r="E21" s="332">
        <v>5.3</v>
      </c>
      <c r="F21" s="332">
        <v>5</v>
      </c>
      <c r="G21" s="333">
        <f>SUM(C21:F21)</f>
        <v>14.3</v>
      </c>
      <c r="H21" s="334">
        <v>3.9</v>
      </c>
      <c r="I21" s="332">
        <v>0.7</v>
      </c>
      <c r="J21" s="332">
        <v>7.4</v>
      </c>
      <c r="K21" s="332">
        <v>4.0999999999999996</v>
      </c>
      <c r="L21" s="333">
        <f>SUM(H21:K21)</f>
        <v>16.100000000000001</v>
      </c>
      <c r="M21" s="334">
        <v>1.2000000000000028</v>
      </c>
      <c r="N21" s="332">
        <v>23.9</v>
      </c>
      <c r="O21" s="332">
        <v>1.5</v>
      </c>
      <c r="P21" s="332">
        <v>-11.4</v>
      </c>
      <c r="Q21" s="335">
        <f>SUM(M21:P21)</f>
        <v>15.200000000000001</v>
      </c>
      <c r="R21" s="332">
        <v>28.9</v>
      </c>
      <c r="S21" s="332">
        <v>-11.9</v>
      </c>
      <c r="T21" s="332">
        <v>-5.2</v>
      </c>
      <c r="U21" s="326">
        <v>-3.2</v>
      </c>
      <c r="V21" s="335">
        <v>8.6000000000000014</v>
      </c>
      <c r="W21" s="336">
        <v>-35.200000000000003</v>
      </c>
      <c r="X21" s="336">
        <v>-21.4</v>
      </c>
      <c r="Y21" s="268">
        <v>13.1</v>
      </c>
      <c r="Z21" s="326">
        <v>-26.3</v>
      </c>
      <c r="AA21" s="335">
        <f t="shared" si="12"/>
        <v>-69.8</v>
      </c>
      <c r="AB21" s="336">
        <v>30.5</v>
      </c>
      <c r="AC21" s="336">
        <v>-14.4</v>
      </c>
      <c r="AD21" s="268">
        <v>-28</v>
      </c>
      <c r="AE21" s="268">
        <v>19.100000000000001</v>
      </c>
      <c r="AF21" s="335">
        <f t="shared" si="13"/>
        <v>7.2000000000000028</v>
      </c>
      <c r="AG21" s="336">
        <v>-3.4</v>
      </c>
      <c r="AH21" s="332">
        <v>-34.4</v>
      </c>
      <c r="AI21" s="332">
        <v>12.7</v>
      </c>
      <c r="AJ21" s="268">
        <v>4.7</v>
      </c>
      <c r="AK21" s="556">
        <f t="shared" ref="AK21:AK23" si="41">SUM(AG21:AJ21)</f>
        <v>-20.399999999999999</v>
      </c>
      <c r="AL21" s="528"/>
      <c r="AM21" s="568">
        <v>-3.4</v>
      </c>
      <c r="AN21" s="332">
        <v>-45.9</v>
      </c>
      <c r="AO21" s="332">
        <v>11.7</v>
      </c>
      <c r="AP21" s="268">
        <v>4.6000000000000014</v>
      </c>
      <c r="AQ21" s="335">
        <f t="shared" ref="AQ21:AQ23" si="42">SUM(AM21:AP21)</f>
        <v>-32.999999999999993</v>
      </c>
      <c r="AR21" s="568">
        <v>1.3</v>
      </c>
      <c r="AS21" s="332">
        <v>13.6</v>
      </c>
      <c r="AT21" s="332">
        <v>-34.5</v>
      </c>
      <c r="AU21" s="268">
        <v>39.200000000000003</v>
      </c>
      <c r="AV21" s="335">
        <f t="shared" ref="AV21:AV23" si="43">SUM(AR21:AU21)</f>
        <v>19.600000000000001</v>
      </c>
      <c r="AW21" s="568">
        <v>-12.2</v>
      </c>
      <c r="AX21" s="332">
        <v>4.8</v>
      </c>
      <c r="AY21" s="332">
        <v>-53.8</v>
      </c>
      <c r="AZ21" s="268">
        <v>34.200000000000003</v>
      </c>
      <c r="BA21" s="335">
        <f t="shared" ref="BA21:BA23" si="44">SUM(AW21:AZ21)</f>
        <v>-26.999999999999993</v>
      </c>
      <c r="BB21" s="332">
        <v>-74.2</v>
      </c>
      <c r="BC21" s="332"/>
      <c r="BD21" s="332"/>
      <c r="BE21" s="268"/>
      <c r="BF21" s="335">
        <f t="shared" ref="BF21:BF23" si="45">SUM(BB21:BE21)</f>
        <v>-74.2</v>
      </c>
    </row>
    <row r="22" spans="1:58" s="589" customFormat="1" ht="20.100000000000001" customHeight="1">
      <c r="A22" s="582" t="s">
        <v>220</v>
      </c>
      <c r="B22" s="634" t="s">
        <v>257</v>
      </c>
      <c r="C22" s="583">
        <v>30.1</v>
      </c>
      <c r="D22" s="583">
        <v>-92.4</v>
      </c>
      <c r="E22" s="583">
        <v>-5.2</v>
      </c>
      <c r="F22" s="583">
        <v>-43.1</v>
      </c>
      <c r="G22" s="584">
        <f t="shared" ref="G22" si="46">SUM(C22:F22)</f>
        <v>-110.6</v>
      </c>
      <c r="H22" s="585">
        <v>-80.099999999999994</v>
      </c>
      <c r="I22" s="583">
        <v>-102.4</v>
      </c>
      <c r="J22" s="583">
        <v>-10.7</v>
      </c>
      <c r="K22" s="583">
        <v>-22.8</v>
      </c>
      <c r="L22" s="584">
        <f t="shared" ref="L22" si="47">SUM(H22:K22)</f>
        <v>-216</v>
      </c>
      <c r="M22" s="585">
        <v>-108.70000000000005</v>
      </c>
      <c r="N22" s="583">
        <v>-273.39999999999998</v>
      </c>
      <c r="O22" s="583">
        <v>-384.7</v>
      </c>
      <c r="P22" s="583">
        <v>-379.2</v>
      </c>
      <c r="Q22" s="556">
        <f t="shared" ref="Q22" si="48">SUM(M22:P22)</f>
        <v>-1146</v>
      </c>
      <c r="R22" s="583">
        <v>-261.3</v>
      </c>
      <c r="S22" s="583">
        <v>-222.1</v>
      </c>
      <c r="T22" s="583">
        <v>88.8</v>
      </c>
      <c r="U22" s="326">
        <v>-270</v>
      </c>
      <c r="V22" s="556">
        <v>-664.59999999999991</v>
      </c>
      <c r="W22" s="586">
        <v>-182.7</v>
      </c>
      <c r="X22" s="586">
        <v>-133.19999999999999</v>
      </c>
      <c r="Y22" s="545">
        <v>-127.3</v>
      </c>
      <c r="Z22" s="326">
        <v>-122.9</v>
      </c>
      <c r="AA22" s="556">
        <f t="shared" si="12"/>
        <v>-566.1</v>
      </c>
      <c r="AB22" s="586">
        <v>-185.5</v>
      </c>
      <c r="AC22" s="586">
        <v>-113.3</v>
      </c>
      <c r="AD22" s="545">
        <v>-104.8</v>
      </c>
      <c r="AE22" s="545">
        <v>-105.4</v>
      </c>
      <c r="AF22" s="556">
        <f t="shared" si="13"/>
        <v>-509</v>
      </c>
      <c r="AG22" s="586">
        <v>-72.599999999999994</v>
      </c>
      <c r="AH22" s="583">
        <v>-98.8</v>
      </c>
      <c r="AI22" s="583">
        <v>-100.9</v>
      </c>
      <c r="AJ22" s="545">
        <v>-113.3</v>
      </c>
      <c r="AK22" s="556">
        <f t="shared" si="41"/>
        <v>-385.59999999999997</v>
      </c>
      <c r="AL22" s="587"/>
      <c r="AM22" s="588">
        <v>-72.599999999999994</v>
      </c>
      <c r="AN22" s="583">
        <v>-98.9</v>
      </c>
      <c r="AO22" s="583">
        <v>-101.6</v>
      </c>
      <c r="AP22" s="545">
        <v>-113.59999999999997</v>
      </c>
      <c r="AQ22" s="556">
        <f t="shared" si="42"/>
        <v>-386.7</v>
      </c>
      <c r="AR22" s="588">
        <v>-102.7</v>
      </c>
      <c r="AS22" s="583">
        <v>-170</v>
      </c>
      <c r="AT22" s="583">
        <v>-97.9</v>
      </c>
      <c r="AU22" s="545">
        <v>-95.3</v>
      </c>
      <c r="AV22" s="556">
        <f t="shared" si="43"/>
        <v>-465.90000000000003</v>
      </c>
      <c r="AW22" s="588">
        <v>-102.7</v>
      </c>
      <c r="AX22" s="583">
        <v>-170</v>
      </c>
      <c r="AY22" s="583">
        <v>-97.9</v>
      </c>
      <c r="AZ22" s="545">
        <v>-95.3</v>
      </c>
      <c r="BA22" s="556">
        <f t="shared" si="44"/>
        <v>-465.90000000000003</v>
      </c>
      <c r="BB22" s="332">
        <v>-153.80000000000001</v>
      </c>
      <c r="BC22" s="583"/>
      <c r="BD22" s="583"/>
      <c r="BE22" s="545"/>
      <c r="BF22" s="556">
        <f t="shared" si="45"/>
        <v>-153.80000000000001</v>
      </c>
    </row>
    <row r="23" spans="1:58" ht="26.25" customHeight="1">
      <c r="A23" s="319" t="s">
        <v>153</v>
      </c>
      <c r="B23" s="636" t="s">
        <v>258</v>
      </c>
      <c r="C23" s="332">
        <v>0.7</v>
      </c>
      <c r="D23" s="332">
        <v>0.8</v>
      </c>
      <c r="E23" s="332">
        <v>0.5</v>
      </c>
      <c r="F23" s="332">
        <v>0.8</v>
      </c>
      <c r="G23" s="333">
        <f t="shared" ref="G23" si="49">SUM(C23:F23)</f>
        <v>2.8</v>
      </c>
      <c r="H23" s="334">
        <v>0.8</v>
      </c>
      <c r="I23" s="332">
        <v>0.8</v>
      </c>
      <c r="J23" s="332">
        <v>0.7</v>
      </c>
      <c r="K23" s="332">
        <v>0.6</v>
      </c>
      <c r="L23" s="333">
        <f t="shared" ref="L23" si="50">SUM(H23:K23)</f>
        <v>2.9</v>
      </c>
      <c r="M23" s="334">
        <v>0.60000000000000009</v>
      </c>
      <c r="N23" s="332">
        <v>0.7</v>
      </c>
      <c r="O23" s="332">
        <v>0.7</v>
      </c>
      <c r="P23" s="332">
        <v>0.6</v>
      </c>
      <c r="Q23" s="335">
        <f t="shared" ref="Q23" si="51">SUM(M23:P23)</f>
        <v>2.6</v>
      </c>
      <c r="R23" s="332">
        <v>0.5</v>
      </c>
      <c r="S23" s="332">
        <v>0.9</v>
      </c>
      <c r="T23" s="332">
        <v>0.5</v>
      </c>
      <c r="U23" s="326">
        <v>0.70000000000000018</v>
      </c>
      <c r="V23" s="335">
        <v>2.6</v>
      </c>
      <c r="W23" s="336">
        <v>0.8</v>
      </c>
      <c r="X23" s="336">
        <v>-0.8</v>
      </c>
      <c r="Y23" s="304">
        <v>0</v>
      </c>
      <c r="Z23" s="304">
        <v>0</v>
      </c>
      <c r="AA23" s="340">
        <f t="shared" ref="AA23" si="52">SUM(W23:Z23)</f>
        <v>0</v>
      </c>
      <c r="AB23" s="304">
        <v>0</v>
      </c>
      <c r="AC23" s="304">
        <v>0</v>
      </c>
      <c r="AD23" s="304">
        <v>0</v>
      </c>
      <c r="AE23" s="304">
        <v>0</v>
      </c>
      <c r="AF23" s="340">
        <f t="shared" ref="AF23:AF24" si="53">SUM(AB23:AE23)</f>
        <v>0</v>
      </c>
      <c r="AG23" s="304">
        <v>0</v>
      </c>
      <c r="AH23" s="304">
        <v>0</v>
      </c>
      <c r="AI23" s="304">
        <v>0</v>
      </c>
      <c r="AJ23" s="304">
        <v>0</v>
      </c>
      <c r="AK23" s="558">
        <f t="shared" si="41"/>
        <v>0</v>
      </c>
      <c r="AL23" s="533"/>
      <c r="AM23" s="412">
        <v>0</v>
      </c>
      <c r="AN23" s="304">
        <v>0</v>
      </c>
      <c r="AO23" s="304">
        <v>0</v>
      </c>
      <c r="AP23" s="304">
        <v>0</v>
      </c>
      <c r="AQ23" s="340">
        <f t="shared" si="42"/>
        <v>0</v>
      </c>
      <c r="AR23" s="412">
        <v>0</v>
      </c>
      <c r="AS23" s="304">
        <v>0</v>
      </c>
      <c r="AT23" s="304">
        <v>0</v>
      </c>
      <c r="AU23" s="304">
        <v>0</v>
      </c>
      <c r="AV23" s="340">
        <f t="shared" si="43"/>
        <v>0</v>
      </c>
      <c r="AW23" s="412">
        <v>0</v>
      </c>
      <c r="AX23" s="304">
        <v>0</v>
      </c>
      <c r="AY23" s="304">
        <v>0</v>
      </c>
      <c r="AZ23" s="304">
        <v>0</v>
      </c>
      <c r="BA23" s="340">
        <f t="shared" si="44"/>
        <v>0</v>
      </c>
      <c r="BB23" s="304">
        <v>0</v>
      </c>
      <c r="BC23" s="304"/>
      <c r="BD23" s="304"/>
      <c r="BE23" s="304"/>
      <c r="BF23" s="340">
        <f t="shared" si="45"/>
        <v>0</v>
      </c>
    </row>
    <row r="24" spans="1:58" ht="26.25" customHeight="1" thickBot="1">
      <c r="A24" s="319" t="s">
        <v>206</v>
      </c>
      <c r="B24" s="637" t="s">
        <v>259</v>
      </c>
      <c r="C24" s="332"/>
      <c r="D24" s="332"/>
      <c r="E24" s="332"/>
      <c r="F24" s="332"/>
      <c r="G24" s="333"/>
      <c r="H24" s="334"/>
      <c r="I24" s="332"/>
      <c r="J24" s="332"/>
      <c r="K24" s="332"/>
      <c r="L24" s="333"/>
      <c r="M24" s="334"/>
      <c r="N24" s="332"/>
      <c r="O24" s="332"/>
      <c r="P24" s="332"/>
      <c r="Q24" s="335"/>
      <c r="R24" s="332"/>
      <c r="S24" s="332"/>
      <c r="T24" s="332"/>
      <c r="U24" s="326"/>
      <c r="V24" s="335"/>
      <c r="W24" s="336"/>
      <c r="X24" s="336"/>
      <c r="Y24" s="304"/>
      <c r="Z24" s="304"/>
      <c r="AA24" s="340"/>
      <c r="AB24" s="304"/>
      <c r="AC24" s="304"/>
      <c r="AD24" s="304"/>
      <c r="AE24" s="304">
        <v>2.8</v>
      </c>
      <c r="AF24" s="340">
        <f t="shared" si="53"/>
        <v>2.8</v>
      </c>
      <c r="AG24" s="304">
        <v>5.2</v>
      </c>
      <c r="AH24" s="426">
        <v>-0.1</v>
      </c>
      <c r="AI24" s="426">
        <v>-3.5</v>
      </c>
      <c r="AJ24" s="268">
        <v>-2.8</v>
      </c>
      <c r="AK24" s="558">
        <f t="shared" ref="AK24" si="54">SUM(AG24:AJ24)</f>
        <v>-1.1999999999999993</v>
      </c>
      <c r="AL24" s="528"/>
      <c r="AM24" s="412">
        <v>5.2</v>
      </c>
      <c r="AN24" s="426">
        <v>-0.1</v>
      </c>
      <c r="AO24" s="426">
        <v>-3.5</v>
      </c>
      <c r="AP24" s="304">
        <v>-2.8</v>
      </c>
      <c r="AQ24" s="340">
        <f t="shared" ref="AQ24" si="55">SUM(AM24:AP24)</f>
        <v>-1.1999999999999993</v>
      </c>
      <c r="AR24" s="412">
        <v>-1.7</v>
      </c>
      <c r="AS24" s="426">
        <v>-1.9</v>
      </c>
      <c r="AT24" s="426">
        <v>-1.3</v>
      </c>
      <c r="AU24" s="304">
        <v>-1.6</v>
      </c>
      <c r="AV24" s="340">
        <f>SUM(AR24:AU24)</f>
        <v>-6.5</v>
      </c>
      <c r="AW24" s="412">
        <v>-1.7</v>
      </c>
      <c r="AX24" s="426">
        <v>-1.9</v>
      </c>
      <c r="AY24" s="426">
        <v>-1.3</v>
      </c>
      <c r="AZ24" s="304">
        <v>-1.6</v>
      </c>
      <c r="BA24" s="340">
        <f>SUM(AW24:AZ24)</f>
        <v>-6.5</v>
      </c>
      <c r="BB24" s="332">
        <v>16.3</v>
      </c>
      <c r="BC24" s="426"/>
      <c r="BD24" s="426"/>
      <c r="BE24" s="304"/>
      <c r="BF24" s="340">
        <f>SUM(BB24:BE24)</f>
        <v>16.3</v>
      </c>
    </row>
    <row r="25" spans="1:58" s="331" customFormat="1" ht="20.100000000000001" customHeight="1" thickBot="1">
      <c r="A25" s="314" t="s">
        <v>168</v>
      </c>
      <c r="B25" s="640" t="s">
        <v>260</v>
      </c>
      <c r="C25" s="315">
        <f t="shared" ref="C25:AD25" si="56">C20+C21+C22+C23+C24</f>
        <v>246.30000000000004</v>
      </c>
      <c r="D25" s="315">
        <f t="shared" si="56"/>
        <v>112.89999999999996</v>
      </c>
      <c r="E25" s="315">
        <f t="shared" si="56"/>
        <v>198.20000000000005</v>
      </c>
      <c r="F25" s="315">
        <f t="shared" si="56"/>
        <v>138.20000000000019</v>
      </c>
      <c r="G25" s="338">
        <f t="shared" si="56"/>
        <v>695.59999999999911</v>
      </c>
      <c r="H25" s="317">
        <f t="shared" si="56"/>
        <v>109.27999999999996</v>
      </c>
      <c r="I25" s="315">
        <f t="shared" si="56"/>
        <v>94.09999999999998</v>
      </c>
      <c r="J25" s="315">
        <f t="shared" si="56"/>
        <v>200.79999999999998</v>
      </c>
      <c r="K25" s="315">
        <f t="shared" si="56"/>
        <v>188.69999999999993</v>
      </c>
      <c r="L25" s="338">
        <f t="shared" si="56"/>
        <v>592.88000000000034</v>
      </c>
      <c r="M25" s="317">
        <f t="shared" si="56"/>
        <v>112.59999999999977</v>
      </c>
      <c r="N25" s="315">
        <f t="shared" si="56"/>
        <v>148.7999999999999</v>
      </c>
      <c r="O25" s="315">
        <f t="shared" si="56"/>
        <v>49.299999999999685</v>
      </c>
      <c r="P25" s="315">
        <f t="shared" si="56"/>
        <v>3.5000000000007732</v>
      </c>
      <c r="Q25" s="339">
        <f t="shared" si="56"/>
        <v>314.19999999999925</v>
      </c>
      <c r="R25" s="315">
        <f t="shared" si="56"/>
        <v>196.79999999999995</v>
      </c>
      <c r="S25" s="315">
        <f t="shared" si="56"/>
        <v>350.4</v>
      </c>
      <c r="T25" s="315">
        <f t="shared" si="56"/>
        <v>613.29999999999961</v>
      </c>
      <c r="U25" s="315">
        <f t="shared" si="56"/>
        <v>171.90000000000038</v>
      </c>
      <c r="V25" s="339">
        <f t="shared" si="56"/>
        <v>1332.3999999999994</v>
      </c>
      <c r="W25" s="315">
        <f t="shared" si="56"/>
        <v>205.70000000000005</v>
      </c>
      <c r="X25" s="315">
        <f t="shared" si="56"/>
        <v>252.10000000000014</v>
      </c>
      <c r="Y25" s="265">
        <f t="shared" si="56"/>
        <v>334.90000000000038</v>
      </c>
      <c r="Z25" s="265">
        <f t="shared" si="56"/>
        <v>240.69999999999996</v>
      </c>
      <c r="AA25" s="339">
        <f t="shared" si="56"/>
        <v>1033.4000000000001</v>
      </c>
      <c r="AB25" s="315">
        <f t="shared" si="56"/>
        <v>302.20000000000033</v>
      </c>
      <c r="AC25" s="315">
        <f t="shared" si="56"/>
        <v>389.2999999999999</v>
      </c>
      <c r="AD25" s="315">
        <f t="shared" si="56"/>
        <v>289.10000000000002</v>
      </c>
      <c r="AE25" s="315">
        <f>AE20+AE21+AE22+AE23+AE24</f>
        <v>354.40000000000003</v>
      </c>
      <c r="AF25" s="339">
        <f t="shared" ref="AF25:AJ25" si="57">AF20+AF21+AF22+AF23+AF24</f>
        <v>1335.0000000000007</v>
      </c>
      <c r="AG25" s="315">
        <f t="shared" si="57"/>
        <v>393.49999999999972</v>
      </c>
      <c r="AH25" s="315">
        <f>AH20+AH21+AH22+AH23+AH24</f>
        <v>355.19999999999987</v>
      </c>
      <c r="AI25" s="315">
        <f>AI20+AI21+AI22+AI23+AI24</f>
        <v>304.30000000000007</v>
      </c>
      <c r="AJ25" s="228">
        <f t="shared" si="57"/>
        <v>304.59999999999997</v>
      </c>
      <c r="AK25" s="544">
        <f>AK20+AK21+AK22+AK23+AK24</f>
        <v>1357.5999999999997</v>
      </c>
      <c r="AL25" s="532"/>
      <c r="AM25" s="317">
        <f t="shared" ref="AM25:AO25" si="58">AM20+AM21+AM22+AM23+AM24</f>
        <v>364.7</v>
      </c>
      <c r="AN25" s="315">
        <f t="shared" si="58"/>
        <v>330.69999999999982</v>
      </c>
      <c r="AO25" s="315">
        <f t="shared" si="58"/>
        <v>303.0999999999998</v>
      </c>
      <c r="AP25" s="228">
        <f>AP20+AP21+AP22+AP23+AP24</f>
        <v>307.59999999999997</v>
      </c>
      <c r="AQ25" s="339">
        <f>AQ20+AQ21+AQ22+AQ23+AQ24</f>
        <v>1306.1000000000029</v>
      </c>
      <c r="AR25" s="317">
        <f>AR20+AR21+AR22+AR23+AR24</f>
        <v>378.80000000000024</v>
      </c>
      <c r="AS25" s="315">
        <f t="shared" ref="AS25:AU25" si="59">AS20+AS21+AS22+AS23+AS24</f>
        <v>357</v>
      </c>
      <c r="AT25" s="315">
        <f t="shared" si="59"/>
        <v>318.99999999999972</v>
      </c>
      <c r="AU25" s="315">
        <f t="shared" si="59"/>
        <v>427.30000000000092</v>
      </c>
      <c r="AV25" s="339">
        <f>AV20+AV21+AV22+AV23+AV24</f>
        <v>1482.1000000000024</v>
      </c>
      <c r="AW25" s="317">
        <f>AW20+AW21+AW22+AW24+AW23</f>
        <v>374.59999999999951</v>
      </c>
      <c r="AX25" s="315">
        <f t="shared" ref="AX25:AZ25" si="60">AX20+AX21+AX22+AX23+AX24</f>
        <v>355.39999999999975</v>
      </c>
      <c r="AY25" s="315">
        <f t="shared" si="60"/>
        <v>305.99999999999983</v>
      </c>
      <c r="AZ25" s="315">
        <f t="shared" si="60"/>
        <v>431.60000000000019</v>
      </c>
      <c r="BA25" s="339">
        <f>BA20+BA21+BA22+BA23+BA24</f>
        <v>1467.600000000001</v>
      </c>
      <c r="BB25" s="317">
        <f>BB20+BB21+BB22+BB24+BB23</f>
        <v>250.48882651999986</v>
      </c>
      <c r="BC25" s="315">
        <f t="shared" ref="BC25:BE25" si="61">BC20+BC21+BC22+BC23+BC24</f>
        <v>0</v>
      </c>
      <c r="BD25" s="315">
        <f t="shared" si="61"/>
        <v>0</v>
      </c>
      <c r="BE25" s="315">
        <f t="shared" si="61"/>
        <v>0</v>
      </c>
      <c r="BF25" s="339">
        <f>BF20+BF21+BF22+BF23+BF24</f>
        <v>250.48882651999986</v>
      </c>
    </row>
    <row r="26" spans="1:58" ht="20.100000000000001" customHeight="1" thickBot="1">
      <c r="A26" s="319" t="s">
        <v>2</v>
      </c>
      <c r="B26" s="638" t="s">
        <v>261</v>
      </c>
      <c r="C26" s="332">
        <v>-41.2</v>
      </c>
      <c r="D26" s="332">
        <v>-13.4</v>
      </c>
      <c r="E26" s="332">
        <v>-26.2</v>
      </c>
      <c r="F26" s="332">
        <v>-16.600000000000001</v>
      </c>
      <c r="G26" s="333">
        <f>SUM(C26:F26)</f>
        <v>-97.4</v>
      </c>
      <c r="H26" s="334">
        <v>-14.1</v>
      </c>
      <c r="I26" s="332">
        <v>-13.4</v>
      </c>
      <c r="J26" s="332">
        <v>-24.4</v>
      </c>
      <c r="K26" s="332">
        <v>-15.5</v>
      </c>
      <c r="L26" s="333">
        <f>SUM(H26:K26)</f>
        <v>-67.400000000000006</v>
      </c>
      <c r="M26" s="334">
        <v>-14.400000000000002</v>
      </c>
      <c r="N26" s="332">
        <v>-16.7</v>
      </c>
      <c r="O26" s="332">
        <v>-1.1000000000000001</v>
      </c>
      <c r="P26" s="332">
        <v>10.5</v>
      </c>
      <c r="Q26" s="335">
        <f>SUM(M26:P26)</f>
        <v>-21.700000000000003</v>
      </c>
      <c r="R26" s="332">
        <v>-26</v>
      </c>
      <c r="S26" s="332">
        <v>-45.9</v>
      </c>
      <c r="T26" s="332">
        <v>-110.8</v>
      </c>
      <c r="U26" s="336">
        <v>13.7</v>
      </c>
      <c r="V26" s="335">
        <v>-169</v>
      </c>
      <c r="W26" s="336">
        <v>-27.2</v>
      </c>
      <c r="X26" s="336">
        <v>-21.2</v>
      </c>
      <c r="Y26" s="268">
        <v>-65.099999999999994</v>
      </c>
      <c r="Z26" s="336">
        <v>101.1</v>
      </c>
      <c r="AA26" s="335">
        <f t="shared" si="12"/>
        <v>-12.400000000000006</v>
      </c>
      <c r="AB26" s="336">
        <v>-30.8</v>
      </c>
      <c r="AC26" s="336">
        <v>-107.6</v>
      </c>
      <c r="AD26" s="268">
        <v>-54.2</v>
      </c>
      <c r="AE26" s="336">
        <v>-197.2</v>
      </c>
      <c r="AF26" s="335">
        <f t="shared" si="13"/>
        <v>-389.8</v>
      </c>
      <c r="AG26" s="336">
        <v>-78</v>
      </c>
      <c r="AH26" s="336">
        <v>-102.1</v>
      </c>
      <c r="AI26" s="446">
        <v>-77.3</v>
      </c>
      <c r="AJ26" s="336">
        <v>-246.74845572261776</v>
      </c>
      <c r="AK26" s="556">
        <f>SUM(AG26:AJ26)</f>
        <v>-504.14845572261777</v>
      </c>
      <c r="AL26" s="528"/>
      <c r="AM26" s="568">
        <v>-72.5</v>
      </c>
      <c r="AN26" s="336">
        <v>-99.3</v>
      </c>
      <c r="AO26" s="449">
        <v>-76</v>
      </c>
      <c r="AP26" s="336">
        <v>-242.2</v>
      </c>
      <c r="AQ26" s="335">
        <f>SUM(AM26:AP26)</f>
        <v>-490</v>
      </c>
      <c r="AR26" s="568">
        <v>-78</v>
      </c>
      <c r="AS26" s="336">
        <v>-86.9</v>
      </c>
      <c r="AT26" s="336">
        <v>-72</v>
      </c>
      <c r="AU26" s="336">
        <v>-118.9</v>
      </c>
      <c r="AV26" s="556">
        <f>SUM(AR26:AU26)</f>
        <v>-355.8</v>
      </c>
      <c r="AW26" s="568">
        <v>-77.3</v>
      </c>
      <c r="AX26" s="336">
        <v>-86.5</v>
      </c>
      <c r="AY26" s="449">
        <v>-69.5</v>
      </c>
      <c r="AZ26" s="336">
        <v>-119.7</v>
      </c>
      <c r="BA26" s="556">
        <f>SUM(AW26:AZ26)</f>
        <v>-353</v>
      </c>
      <c r="BB26" s="568">
        <v>-66.7</v>
      </c>
      <c r="BC26" s="336"/>
      <c r="BD26" s="449"/>
      <c r="BE26" s="336"/>
      <c r="BF26" s="556">
        <f>SUM(BB26:BE26)</f>
        <v>-66.7</v>
      </c>
    </row>
    <row r="27" spans="1:58" s="331" customFormat="1" ht="20.100000000000001" customHeight="1" thickBot="1">
      <c r="A27" s="314" t="s">
        <v>169</v>
      </c>
      <c r="B27" s="640" t="s">
        <v>262</v>
      </c>
      <c r="C27" s="315">
        <f t="shared" ref="C27:AA27" si="62">C25+C26</f>
        <v>205.10000000000002</v>
      </c>
      <c r="D27" s="315">
        <f t="shared" si="62"/>
        <v>99.499999999999957</v>
      </c>
      <c r="E27" s="315">
        <f t="shared" si="62"/>
        <v>172.00000000000006</v>
      </c>
      <c r="F27" s="315">
        <f t="shared" si="62"/>
        <v>121.60000000000019</v>
      </c>
      <c r="G27" s="338">
        <f>G25+G26</f>
        <v>598.19999999999914</v>
      </c>
      <c r="H27" s="317">
        <f t="shared" si="62"/>
        <v>95.179999999999964</v>
      </c>
      <c r="I27" s="315">
        <f t="shared" si="62"/>
        <v>80.699999999999974</v>
      </c>
      <c r="J27" s="315">
        <f t="shared" si="62"/>
        <v>176.39999999999998</v>
      </c>
      <c r="K27" s="315">
        <f t="shared" si="62"/>
        <v>173.19999999999993</v>
      </c>
      <c r="L27" s="338">
        <f t="shared" si="62"/>
        <v>525.48000000000036</v>
      </c>
      <c r="M27" s="317">
        <f t="shared" si="62"/>
        <v>98.199999999999761</v>
      </c>
      <c r="N27" s="315">
        <f t="shared" si="62"/>
        <v>132.09999999999991</v>
      </c>
      <c r="O27" s="315">
        <f t="shared" si="62"/>
        <v>48.199999999999683</v>
      </c>
      <c r="P27" s="315">
        <f t="shared" si="62"/>
        <v>14.000000000000773</v>
      </c>
      <c r="Q27" s="339">
        <f t="shared" si="62"/>
        <v>292.49999999999926</v>
      </c>
      <c r="R27" s="315">
        <f t="shared" si="62"/>
        <v>170.79999999999995</v>
      </c>
      <c r="S27" s="315">
        <f t="shared" si="62"/>
        <v>304.5</v>
      </c>
      <c r="T27" s="315">
        <f t="shared" si="62"/>
        <v>502.4999999999996</v>
      </c>
      <c r="U27" s="315">
        <f t="shared" si="62"/>
        <v>185.60000000000036</v>
      </c>
      <c r="V27" s="339">
        <f t="shared" si="62"/>
        <v>1163.3999999999994</v>
      </c>
      <c r="W27" s="315">
        <f t="shared" si="62"/>
        <v>178.50000000000006</v>
      </c>
      <c r="X27" s="315">
        <f t="shared" si="62"/>
        <v>230.90000000000015</v>
      </c>
      <c r="Y27" s="265">
        <f t="shared" si="62"/>
        <v>269.80000000000041</v>
      </c>
      <c r="Z27" s="265">
        <f t="shared" si="62"/>
        <v>341.79999999999995</v>
      </c>
      <c r="AA27" s="339">
        <f t="shared" si="62"/>
        <v>1021.0000000000001</v>
      </c>
      <c r="AB27" s="315">
        <f t="shared" ref="AB27:AK27" si="63">AB25+AB26</f>
        <v>271.40000000000032</v>
      </c>
      <c r="AC27" s="315">
        <f t="shared" si="63"/>
        <v>281.69999999999993</v>
      </c>
      <c r="AD27" s="315">
        <f t="shared" si="63"/>
        <v>234.90000000000003</v>
      </c>
      <c r="AE27" s="315">
        <f t="shared" si="63"/>
        <v>157.20000000000005</v>
      </c>
      <c r="AF27" s="339">
        <f t="shared" si="63"/>
        <v>945.20000000000073</v>
      </c>
      <c r="AG27" s="315">
        <f t="shared" si="63"/>
        <v>315.49999999999972</v>
      </c>
      <c r="AH27" s="315">
        <f t="shared" si="63"/>
        <v>253.09999999999988</v>
      </c>
      <c r="AI27" s="315">
        <f t="shared" si="63"/>
        <v>227.00000000000006</v>
      </c>
      <c r="AJ27" s="228">
        <f t="shared" si="63"/>
        <v>57.851544277382203</v>
      </c>
      <c r="AK27" s="544">
        <f t="shared" si="63"/>
        <v>853.45154427738191</v>
      </c>
      <c r="AL27" s="532"/>
      <c r="AM27" s="317">
        <f t="shared" ref="AM27:AU27" si="64">AM25+AM26</f>
        <v>292.2</v>
      </c>
      <c r="AN27" s="315">
        <f t="shared" si="64"/>
        <v>231.39999999999981</v>
      </c>
      <c r="AO27" s="315">
        <f t="shared" si="64"/>
        <v>227.0999999999998</v>
      </c>
      <c r="AP27" s="228">
        <f t="shared" si="64"/>
        <v>65.399999999999977</v>
      </c>
      <c r="AQ27" s="339">
        <f t="shared" si="64"/>
        <v>816.10000000000286</v>
      </c>
      <c r="AR27" s="317">
        <f>AR25+AR26</f>
        <v>300.80000000000024</v>
      </c>
      <c r="AS27" s="315">
        <f t="shared" si="64"/>
        <v>270.10000000000002</v>
      </c>
      <c r="AT27" s="315">
        <f t="shared" si="64"/>
        <v>246.99999999999972</v>
      </c>
      <c r="AU27" s="315">
        <f t="shared" si="64"/>
        <v>308.40000000000089</v>
      </c>
      <c r="AV27" s="544">
        <f t="shared" ref="AV27" si="65">AV25+AV26</f>
        <v>1126.3000000000025</v>
      </c>
      <c r="AW27" s="317">
        <f t="shared" ref="AW27:AZ27" si="66">AW25+AW26</f>
        <v>297.2999999999995</v>
      </c>
      <c r="AX27" s="315">
        <f t="shared" si="66"/>
        <v>268.89999999999975</v>
      </c>
      <c r="AY27" s="315">
        <f t="shared" si="66"/>
        <v>236.49999999999983</v>
      </c>
      <c r="AZ27" s="315">
        <f t="shared" si="66"/>
        <v>311.9000000000002</v>
      </c>
      <c r="BA27" s="544">
        <f t="shared" ref="BA27" si="67">BA25+BA26</f>
        <v>1114.600000000001</v>
      </c>
      <c r="BB27" s="317">
        <f t="shared" ref="BB27:BF27" si="68">BB25+BB26</f>
        <v>183.78882651999987</v>
      </c>
      <c r="BC27" s="315">
        <f t="shared" si="68"/>
        <v>0</v>
      </c>
      <c r="BD27" s="315">
        <f t="shared" si="68"/>
        <v>0</v>
      </c>
      <c r="BE27" s="315">
        <f t="shared" si="68"/>
        <v>0</v>
      </c>
      <c r="BF27" s="544">
        <f t="shared" si="68"/>
        <v>183.78882651999987</v>
      </c>
    </row>
    <row r="28" spans="1:58" ht="25.5">
      <c r="A28" s="319" t="s">
        <v>148</v>
      </c>
      <c r="B28" s="629" t="s">
        <v>263</v>
      </c>
      <c r="C28" s="332">
        <f>C27</f>
        <v>205.10000000000002</v>
      </c>
      <c r="D28" s="332">
        <f t="shared" ref="D28:V28" si="69">D27</f>
        <v>99.499999999999957</v>
      </c>
      <c r="E28" s="332">
        <f t="shared" si="69"/>
        <v>172.00000000000006</v>
      </c>
      <c r="F28" s="332">
        <f t="shared" si="69"/>
        <v>121.60000000000019</v>
      </c>
      <c r="G28" s="333">
        <f t="shared" si="69"/>
        <v>598.19999999999914</v>
      </c>
      <c r="H28" s="334">
        <f t="shared" si="69"/>
        <v>95.179999999999964</v>
      </c>
      <c r="I28" s="332">
        <f t="shared" si="69"/>
        <v>80.699999999999974</v>
      </c>
      <c r="J28" s="332">
        <f t="shared" si="69"/>
        <v>176.39999999999998</v>
      </c>
      <c r="K28" s="332">
        <f t="shared" si="69"/>
        <v>173.19999999999993</v>
      </c>
      <c r="L28" s="333">
        <f t="shared" si="69"/>
        <v>525.48000000000036</v>
      </c>
      <c r="M28" s="334">
        <f t="shared" si="69"/>
        <v>98.199999999999761</v>
      </c>
      <c r="N28" s="332">
        <f t="shared" si="69"/>
        <v>132.09999999999991</v>
      </c>
      <c r="O28" s="332">
        <f t="shared" si="69"/>
        <v>48.199999999999683</v>
      </c>
      <c r="P28" s="332">
        <f t="shared" si="69"/>
        <v>14.000000000000773</v>
      </c>
      <c r="Q28" s="335">
        <f t="shared" si="69"/>
        <v>292.49999999999926</v>
      </c>
      <c r="R28" s="332">
        <f t="shared" si="69"/>
        <v>170.79999999999995</v>
      </c>
      <c r="S28" s="332">
        <f t="shared" si="69"/>
        <v>304.5</v>
      </c>
      <c r="T28" s="332">
        <f t="shared" si="69"/>
        <v>502.4999999999996</v>
      </c>
      <c r="U28" s="341">
        <f t="shared" si="69"/>
        <v>185.60000000000036</v>
      </c>
      <c r="V28" s="335">
        <f t="shared" si="69"/>
        <v>1163.3999999999994</v>
      </c>
      <c r="W28" s="336">
        <v>175.5</v>
      </c>
      <c r="X28" s="336">
        <v>237.7</v>
      </c>
      <c r="Y28" s="268">
        <v>278.2</v>
      </c>
      <c r="Z28" s="341">
        <v>349.9</v>
      </c>
      <c r="AA28" s="335">
        <f t="shared" si="12"/>
        <v>1041.3</v>
      </c>
      <c r="AB28" s="336">
        <v>279.39999999999998</v>
      </c>
      <c r="AC28" s="336">
        <v>291.2</v>
      </c>
      <c r="AD28" s="268">
        <v>242.9</v>
      </c>
      <c r="AE28" s="268">
        <v>167.1</v>
      </c>
      <c r="AF28" s="335">
        <f t="shared" si="13"/>
        <v>980.59999999999991</v>
      </c>
      <c r="AG28" s="332"/>
      <c r="AH28" s="336"/>
      <c r="AI28" s="446"/>
      <c r="AJ28" s="268"/>
      <c r="AK28" s="556">
        <f t="shared" ref="AK28:AK29" si="70">SUM(AG28:AJ28)</f>
        <v>0</v>
      </c>
      <c r="AL28" s="528"/>
      <c r="AM28" s="413">
        <v>300.8</v>
      </c>
      <c r="AN28" s="336">
        <v>235.8</v>
      </c>
      <c r="AO28" s="336">
        <v>226.1</v>
      </c>
      <c r="AP28" s="268">
        <v>70.900000000000006</v>
      </c>
      <c r="AQ28" s="335">
        <f t="shared" ref="AQ28:AQ29" si="71">SUM(AM28:AP28)</f>
        <v>833.6</v>
      </c>
      <c r="AR28" s="413"/>
      <c r="AS28" s="336"/>
      <c r="AT28" s="336"/>
      <c r="AU28" s="268"/>
      <c r="AV28" s="556"/>
      <c r="AW28" s="413">
        <v>291.89999999999998</v>
      </c>
      <c r="AX28" s="336">
        <v>263.60000000000002</v>
      </c>
      <c r="AY28" s="336">
        <v>231.3</v>
      </c>
      <c r="AZ28" s="268">
        <v>313.8</v>
      </c>
      <c r="BA28" s="556">
        <f t="shared" ref="BA28:BA29" si="72">SUM(AW28:AZ28)</f>
        <v>1100.5999999999999</v>
      </c>
      <c r="BB28" s="413">
        <v>182.4</v>
      </c>
      <c r="BC28" s="336"/>
      <c r="BD28" s="336"/>
      <c r="BE28" s="268"/>
      <c r="BF28" s="556">
        <f t="shared" ref="BF28:BF29" si="73">SUM(BB28:BE28)</f>
        <v>182.4</v>
      </c>
    </row>
    <row r="29" spans="1:58" ht="25.5">
      <c r="A29" s="319" t="s">
        <v>174</v>
      </c>
      <c r="B29" s="630" t="s">
        <v>264</v>
      </c>
      <c r="C29" s="332"/>
      <c r="D29" s="332"/>
      <c r="E29" s="332"/>
      <c r="F29" s="332"/>
      <c r="G29" s="333"/>
      <c r="H29" s="334"/>
      <c r="I29" s="332"/>
      <c r="J29" s="332"/>
      <c r="K29" s="332"/>
      <c r="L29" s="333"/>
      <c r="M29" s="334"/>
      <c r="N29" s="332"/>
      <c r="O29" s="332"/>
      <c r="P29" s="332"/>
      <c r="Q29" s="335"/>
      <c r="R29" s="332"/>
      <c r="S29" s="332"/>
      <c r="T29" s="332"/>
      <c r="U29" s="341"/>
      <c r="V29" s="335"/>
      <c r="W29" s="336">
        <v>3</v>
      </c>
      <c r="X29" s="336">
        <v>-6.8</v>
      </c>
      <c r="Y29" s="268">
        <v>-8.4</v>
      </c>
      <c r="Z29" s="341">
        <v>-8.1</v>
      </c>
      <c r="AA29" s="335">
        <f t="shared" si="12"/>
        <v>-20.299999999999997</v>
      </c>
      <c r="AB29" s="336">
        <v>-8</v>
      </c>
      <c r="AC29" s="336">
        <v>-9.5</v>
      </c>
      <c r="AD29" s="268">
        <v>-8</v>
      </c>
      <c r="AE29" s="268">
        <v>-9.9</v>
      </c>
      <c r="AF29" s="335">
        <f t="shared" si="13"/>
        <v>-35.4</v>
      </c>
      <c r="AG29" s="332"/>
      <c r="AH29" s="336"/>
      <c r="AI29" s="446"/>
      <c r="AJ29" s="268"/>
      <c r="AK29" s="556">
        <f t="shared" si="70"/>
        <v>0</v>
      </c>
      <c r="AL29" s="528"/>
      <c r="AM29" s="413">
        <v>-8.6</v>
      </c>
      <c r="AN29" s="336">
        <v>-4.4000000000000004</v>
      </c>
      <c r="AO29" s="336">
        <v>1</v>
      </c>
      <c r="AP29" s="268">
        <v>-5.5</v>
      </c>
      <c r="AQ29" s="335">
        <f t="shared" si="71"/>
        <v>-17.5</v>
      </c>
      <c r="AR29" s="413"/>
      <c r="AS29" s="336"/>
      <c r="AT29" s="336"/>
      <c r="AU29" s="268"/>
      <c r="AV29" s="556"/>
      <c r="AW29" s="413">
        <v>5.4</v>
      </c>
      <c r="AX29" s="336">
        <v>5.3</v>
      </c>
      <c r="AY29" s="336">
        <v>5.2</v>
      </c>
      <c r="AZ29" s="268">
        <v>-1.9</v>
      </c>
      <c r="BA29" s="556">
        <f t="shared" si="72"/>
        <v>13.999999999999998</v>
      </c>
      <c r="BB29" s="413">
        <v>1.4</v>
      </c>
      <c r="BC29" s="336"/>
      <c r="BD29" s="336"/>
      <c r="BE29" s="268"/>
      <c r="BF29" s="556">
        <f t="shared" si="73"/>
        <v>1.4</v>
      </c>
    </row>
    <row r="30" spans="1:58" s="331" customFormat="1" ht="20.100000000000001" customHeight="1" thickBot="1">
      <c r="A30" s="342" t="s">
        <v>149</v>
      </c>
      <c r="B30" s="639" t="s">
        <v>265</v>
      </c>
      <c r="C30" s="343">
        <f t="shared" ref="C30:M30" si="74">ROUND(C27/348.352836,2)</f>
        <v>0.59</v>
      </c>
      <c r="D30" s="343">
        <f t="shared" si="74"/>
        <v>0.28999999999999998</v>
      </c>
      <c r="E30" s="343">
        <f t="shared" si="74"/>
        <v>0.49</v>
      </c>
      <c r="F30" s="343">
        <f t="shared" si="74"/>
        <v>0.35</v>
      </c>
      <c r="G30" s="344">
        <f t="shared" si="74"/>
        <v>1.72</v>
      </c>
      <c r="H30" s="345">
        <f t="shared" si="74"/>
        <v>0.27</v>
      </c>
      <c r="I30" s="343">
        <f t="shared" si="74"/>
        <v>0.23</v>
      </c>
      <c r="J30" s="343">
        <f t="shared" si="74"/>
        <v>0.51</v>
      </c>
      <c r="K30" s="343">
        <f t="shared" si="74"/>
        <v>0.5</v>
      </c>
      <c r="L30" s="344">
        <f t="shared" si="74"/>
        <v>1.51</v>
      </c>
      <c r="M30" s="346">
        <f t="shared" si="74"/>
        <v>0.28000000000000003</v>
      </c>
      <c r="N30" s="343">
        <f>ROUND(N27/524.348714,2)</f>
        <v>0.25</v>
      </c>
      <c r="O30" s="343">
        <f>ROUND(O27/639.546016,2)</f>
        <v>0.08</v>
      </c>
      <c r="P30" s="343">
        <f>ROUND(P27/639.546016,2)</f>
        <v>0.02</v>
      </c>
      <c r="Q30" s="347">
        <f>ROUND(Q27/539.024535,2)</f>
        <v>0.54</v>
      </c>
      <c r="R30" s="343">
        <f t="shared" ref="R30:AA30" si="75">ROUND(R27/639.546016,2)</f>
        <v>0.27</v>
      </c>
      <c r="S30" s="343">
        <f t="shared" si="75"/>
        <v>0.48</v>
      </c>
      <c r="T30" s="343">
        <f t="shared" si="75"/>
        <v>0.79</v>
      </c>
      <c r="U30" s="348">
        <f t="shared" si="75"/>
        <v>0.28999999999999998</v>
      </c>
      <c r="V30" s="347">
        <f t="shared" si="75"/>
        <v>1.82</v>
      </c>
      <c r="W30" s="349">
        <f t="shared" si="75"/>
        <v>0.28000000000000003</v>
      </c>
      <c r="X30" s="349">
        <f>ROUNDUP(X27/639.546016,2)</f>
        <v>0.37</v>
      </c>
      <c r="Y30" s="269">
        <f t="shared" si="75"/>
        <v>0.42</v>
      </c>
      <c r="Z30" s="269">
        <f>ROUNDUP(Z27/639.546016,2)</f>
        <v>0.54</v>
      </c>
      <c r="AA30" s="347">
        <f t="shared" si="75"/>
        <v>1.6</v>
      </c>
      <c r="AB30" s="349">
        <f t="shared" ref="AB30:AK30" si="76">ROUND(AB27/639.546016,2)</f>
        <v>0.42</v>
      </c>
      <c r="AC30" s="349">
        <f t="shared" si="76"/>
        <v>0.44</v>
      </c>
      <c r="AD30" s="349">
        <f t="shared" si="76"/>
        <v>0.37</v>
      </c>
      <c r="AE30" s="349">
        <f t="shared" si="76"/>
        <v>0.25</v>
      </c>
      <c r="AF30" s="347">
        <f t="shared" si="76"/>
        <v>1.48</v>
      </c>
      <c r="AG30" s="349">
        <f t="shared" si="76"/>
        <v>0.49</v>
      </c>
      <c r="AH30" s="349">
        <f t="shared" si="76"/>
        <v>0.4</v>
      </c>
      <c r="AI30" s="349">
        <f t="shared" si="76"/>
        <v>0.35</v>
      </c>
      <c r="AJ30" s="546">
        <f t="shared" si="76"/>
        <v>0.09</v>
      </c>
      <c r="AK30" s="559">
        <f t="shared" si="76"/>
        <v>1.33</v>
      </c>
      <c r="AL30" s="534"/>
      <c r="AM30" s="414">
        <f t="shared" ref="AM30:AQ30" si="77">ROUND(AM27/639.546016,2)</f>
        <v>0.46</v>
      </c>
      <c r="AN30" s="349">
        <f t="shared" si="77"/>
        <v>0.36</v>
      </c>
      <c r="AO30" s="349">
        <v>0.35</v>
      </c>
      <c r="AP30" s="546">
        <v>0.11</v>
      </c>
      <c r="AQ30" s="347">
        <f t="shared" si="77"/>
        <v>1.28</v>
      </c>
      <c r="AR30" s="414"/>
      <c r="AS30" s="349"/>
      <c r="AT30" s="349"/>
      <c r="AU30" s="546"/>
      <c r="AV30" s="559"/>
      <c r="AW30" s="414">
        <f>ROUND(AW27/639.546016,2)</f>
        <v>0.46</v>
      </c>
      <c r="AX30" s="349">
        <v>0.43</v>
      </c>
      <c r="AY30" s="349">
        <v>0.37</v>
      </c>
      <c r="AZ30" s="546">
        <v>0.48</v>
      </c>
      <c r="BA30" s="559">
        <f t="shared" ref="BA30" si="78">ROUND(BA27/639.546016,2)</f>
        <v>1.74</v>
      </c>
      <c r="BB30" s="414">
        <f>ROUND(BB27/639.546016,2)</f>
        <v>0.28999999999999998</v>
      </c>
      <c r="BC30" s="546">
        <f t="shared" ref="BC30:BE30" si="79">ROUND(BC27/639.546016,2)</f>
        <v>0</v>
      </c>
      <c r="BD30" s="546">
        <f t="shared" si="79"/>
        <v>0</v>
      </c>
      <c r="BE30" s="546">
        <f t="shared" si="79"/>
        <v>0</v>
      </c>
      <c r="BF30" s="559">
        <f t="shared" ref="BF30" si="80">ROUND(BF27/639.546016,2)</f>
        <v>0.28999999999999998</v>
      </c>
    </row>
    <row r="31" spans="1:58" s="331" customFormat="1" ht="20.100000000000001" customHeight="1">
      <c r="A31" s="350" t="s">
        <v>0</v>
      </c>
      <c r="B31" s="656" t="s">
        <v>0</v>
      </c>
      <c r="C31" s="626">
        <f t="shared" ref="C31:AF31" si="81">C20-C12</f>
        <v>257.40000000000003</v>
      </c>
      <c r="D31" s="351">
        <f t="shared" si="81"/>
        <v>269.7</v>
      </c>
      <c r="E31" s="351">
        <f t="shared" si="81"/>
        <v>257.8</v>
      </c>
      <c r="F31" s="351">
        <f t="shared" si="81"/>
        <v>247.20000000000016</v>
      </c>
      <c r="G31" s="352">
        <f t="shared" si="81"/>
        <v>1032.0999999999992</v>
      </c>
      <c r="H31" s="350">
        <f t="shared" si="81"/>
        <v>245.37999999999994</v>
      </c>
      <c r="I31" s="351">
        <f t="shared" si="81"/>
        <v>257.3</v>
      </c>
      <c r="J31" s="351">
        <f t="shared" si="81"/>
        <v>268.2</v>
      </c>
      <c r="K31" s="351">
        <f t="shared" si="81"/>
        <v>275.39999999999998</v>
      </c>
      <c r="L31" s="352">
        <f t="shared" si="81"/>
        <v>1046.2800000000002</v>
      </c>
      <c r="M31" s="350">
        <f t="shared" si="81"/>
        <v>281.99999999999977</v>
      </c>
      <c r="N31" s="351">
        <f t="shared" si="81"/>
        <v>708.89999999999986</v>
      </c>
      <c r="O31" s="351">
        <f t="shared" si="81"/>
        <v>910.09999999999968</v>
      </c>
      <c r="P31" s="351">
        <f t="shared" si="81"/>
        <v>837.30000000000075</v>
      </c>
      <c r="Q31" s="352">
        <f t="shared" si="81"/>
        <v>2738.2999999999993</v>
      </c>
      <c r="R31" s="350">
        <f t="shared" si="81"/>
        <v>896.59999999999991</v>
      </c>
      <c r="S31" s="351">
        <f t="shared" si="81"/>
        <v>977</v>
      </c>
      <c r="T31" s="351">
        <f t="shared" si="81"/>
        <v>930.39999999999964</v>
      </c>
      <c r="U31" s="351">
        <f t="shared" si="81"/>
        <v>881.10000000000036</v>
      </c>
      <c r="V31" s="353">
        <f t="shared" si="81"/>
        <v>3685.0999999999995</v>
      </c>
      <c r="W31" s="350">
        <f t="shared" si="81"/>
        <v>846.5</v>
      </c>
      <c r="X31" s="354">
        <f t="shared" si="81"/>
        <v>935.00000000000011</v>
      </c>
      <c r="Y31" s="206">
        <f t="shared" si="81"/>
        <v>957.00000000000034</v>
      </c>
      <c r="Z31" s="206">
        <f t="shared" si="81"/>
        <v>902.3</v>
      </c>
      <c r="AA31" s="353">
        <f t="shared" si="81"/>
        <v>3640.8</v>
      </c>
      <c r="AB31" s="350">
        <f t="shared" si="81"/>
        <v>929.50000000000034</v>
      </c>
      <c r="AC31" s="354">
        <f t="shared" si="81"/>
        <v>963.69999999999982</v>
      </c>
      <c r="AD31" s="354">
        <f t="shared" si="81"/>
        <v>851.1</v>
      </c>
      <c r="AE31" s="354">
        <f t="shared" si="81"/>
        <v>872.7</v>
      </c>
      <c r="AF31" s="353">
        <f t="shared" si="81"/>
        <v>3617.0000000000009</v>
      </c>
      <c r="AG31" s="350">
        <f t="shared" ref="AG31" si="82">AG20-AG12</f>
        <v>918.79999999999973</v>
      </c>
      <c r="AH31" s="206">
        <f>AH20-AH12</f>
        <v>927.59999999999991</v>
      </c>
      <c r="AI31" s="206">
        <f>AI20-AI12</f>
        <v>848.50000000000011</v>
      </c>
      <c r="AJ31" s="430">
        <f t="shared" ref="AJ31:AK31" si="83">AJ20-AJ12</f>
        <v>846.6</v>
      </c>
      <c r="AK31" s="560">
        <f t="shared" si="83"/>
        <v>3541.4999999999995</v>
      </c>
      <c r="AL31" s="535"/>
      <c r="AM31" s="410">
        <f t="shared" ref="AM31:AR31" si="84">AM20-AM12</f>
        <v>890</v>
      </c>
      <c r="AN31" s="206">
        <f t="shared" si="84"/>
        <v>946.39999999999986</v>
      </c>
      <c r="AO31" s="206">
        <f t="shared" si="84"/>
        <v>919.99999999999977</v>
      </c>
      <c r="AP31" s="430">
        <f t="shared" si="84"/>
        <v>941.3</v>
      </c>
      <c r="AQ31" s="353">
        <f t="shared" si="84"/>
        <v>3697.700000000003</v>
      </c>
      <c r="AR31" s="410">
        <f t="shared" si="84"/>
        <v>922.00000000000023</v>
      </c>
      <c r="AS31" s="206">
        <f t="shared" ref="AS31:AT31" si="85">AS20-AS12</f>
        <v>959.9</v>
      </c>
      <c r="AT31" s="206">
        <f t="shared" si="85"/>
        <v>901.1999999999997</v>
      </c>
      <c r="AU31" s="206">
        <f t="shared" ref="AU31" si="86">AU20-AU12</f>
        <v>938.20000000000095</v>
      </c>
      <c r="AV31" s="560">
        <f>AV20-AV12</f>
        <v>3721.3000000000029</v>
      </c>
      <c r="AW31" s="580">
        <f>AW20-AW12</f>
        <v>1038.2999999999995</v>
      </c>
      <c r="AX31" s="615">
        <f t="shared" ref="AX31:AY31" si="87">AX20-AX12</f>
        <v>1076.0999999999999</v>
      </c>
      <c r="AY31" s="615">
        <f t="shared" si="87"/>
        <v>1020.4999999999999</v>
      </c>
      <c r="AZ31" s="615">
        <f t="shared" ref="AZ31" si="88">AZ20-AZ12</f>
        <v>1061.8000000000002</v>
      </c>
      <c r="BA31" s="560">
        <f>BA20-BA12</f>
        <v>4196.7000000000007</v>
      </c>
      <c r="BB31" s="580">
        <f>BB20-BB12</f>
        <v>1026.6888265199998</v>
      </c>
      <c r="BC31" s="615">
        <f t="shared" ref="BC31:BE31" si="89">BC20-BC12</f>
        <v>0</v>
      </c>
      <c r="BD31" s="615">
        <f t="shared" si="89"/>
        <v>0</v>
      </c>
      <c r="BE31" s="615">
        <f t="shared" si="89"/>
        <v>0</v>
      </c>
      <c r="BF31" s="560">
        <f>BF20-BF12</f>
        <v>1026.6888265199998</v>
      </c>
    </row>
    <row r="32" spans="1:58" s="331" customFormat="1" ht="20.100000000000001" customHeight="1" thickBot="1">
      <c r="A32" s="355" t="s">
        <v>3</v>
      </c>
      <c r="B32" s="657" t="s">
        <v>266</v>
      </c>
      <c r="C32" s="357">
        <f t="shared" ref="C32:AF32" si="90">C31/C5</f>
        <v>0.38463837417812313</v>
      </c>
      <c r="D32" s="357">
        <f t="shared" si="90"/>
        <v>0.377836929111796</v>
      </c>
      <c r="E32" s="357">
        <f t="shared" si="90"/>
        <v>0.4</v>
      </c>
      <c r="F32" s="357">
        <f t="shared" si="90"/>
        <v>0.32933653077537983</v>
      </c>
      <c r="G32" s="358">
        <f t="shared" si="90"/>
        <v>0.37151290450307745</v>
      </c>
      <c r="H32" s="356">
        <f t="shared" si="90"/>
        <v>0.35200114761153339</v>
      </c>
      <c r="I32" s="357">
        <f t="shared" si="90"/>
        <v>0.34963989672509854</v>
      </c>
      <c r="J32" s="357">
        <f t="shared" si="90"/>
        <v>0.39598405433338257</v>
      </c>
      <c r="K32" s="357">
        <f t="shared" si="90"/>
        <v>0.34403497813866329</v>
      </c>
      <c r="L32" s="359">
        <f t="shared" si="90"/>
        <v>0.35944757454995196</v>
      </c>
      <c r="M32" s="356">
        <f t="shared" si="90"/>
        <v>0.38987971795935272</v>
      </c>
      <c r="N32" s="357">
        <f t="shared" si="90"/>
        <v>0.40603700097370976</v>
      </c>
      <c r="O32" s="357">
        <f t="shared" si="90"/>
        <v>0.37613655149611497</v>
      </c>
      <c r="P32" s="357">
        <f t="shared" si="90"/>
        <v>0.33211693308476481</v>
      </c>
      <c r="Q32" s="358">
        <f t="shared" si="90"/>
        <v>0.36954614772129168</v>
      </c>
      <c r="R32" s="357">
        <f t="shared" si="90"/>
        <v>0.38497209102619145</v>
      </c>
      <c r="S32" s="357">
        <f t="shared" si="90"/>
        <v>0.39567471245747615</v>
      </c>
      <c r="T32" s="357">
        <f t="shared" si="90"/>
        <v>0.3852747525777464</v>
      </c>
      <c r="U32" s="357">
        <f t="shared" si="90"/>
        <v>0.33759914172956829</v>
      </c>
      <c r="V32" s="358">
        <f t="shared" si="90"/>
        <v>0.37515015779293487</v>
      </c>
      <c r="W32" s="357">
        <f t="shared" si="90"/>
        <v>0.35807952622673433</v>
      </c>
      <c r="X32" s="357">
        <f t="shared" si="90"/>
        <v>0.3827418232428671</v>
      </c>
      <c r="Y32" s="360">
        <f t="shared" si="90"/>
        <v>0.4007873356227491</v>
      </c>
      <c r="Z32" s="360">
        <f t="shared" si="90"/>
        <v>0.35592284328034396</v>
      </c>
      <c r="AA32" s="358">
        <f t="shared" si="90"/>
        <v>0.37419063084544396</v>
      </c>
      <c r="AB32" s="357">
        <f t="shared" si="90"/>
        <v>0.38914008205643491</v>
      </c>
      <c r="AC32" s="357">
        <f t="shared" si="90"/>
        <v>0.39017773998947319</v>
      </c>
      <c r="AD32" s="357">
        <f t="shared" si="90"/>
        <v>0.35597473754653058</v>
      </c>
      <c r="AE32" s="357">
        <f t="shared" si="90"/>
        <v>0.33836073200992561</v>
      </c>
      <c r="AF32" s="358">
        <f t="shared" si="90"/>
        <v>0.36800765114054906</v>
      </c>
      <c r="AG32" s="357">
        <f t="shared" ref="AG32:AK32" si="91">AG31/AG5</f>
        <v>0.3892065912653026</v>
      </c>
      <c r="AH32" s="357">
        <f t="shared" si="91"/>
        <v>0.37450038354394599</v>
      </c>
      <c r="AI32" s="357">
        <f t="shared" ref="AI32" si="92">AI31/AI5</f>
        <v>0.34840272645150699</v>
      </c>
      <c r="AJ32" s="360">
        <f t="shared" si="91"/>
        <v>0.3156599552572707</v>
      </c>
      <c r="AK32" s="561">
        <f t="shared" si="91"/>
        <v>0.35575087895529878</v>
      </c>
      <c r="AL32" s="536"/>
      <c r="AM32" s="356">
        <f t="shared" ref="AM32:AR32" si="93">AM31/AM5</f>
        <v>0.37938531054179631</v>
      </c>
      <c r="AN32" s="357">
        <f t="shared" si="93"/>
        <v>0.36355255070682235</v>
      </c>
      <c r="AO32" s="357">
        <f t="shared" si="93"/>
        <v>0.33638025594149901</v>
      </c>
      <c r="AP32" s="360">
        <f t="shared" si="93"/>
        <v>0.31355762824783479</v>
      </c>
      <c r="AQ32" s="358">
        <f t="shared" si="93"/>
        <v>0.3460289535003418</v>
      </c>
      <c r="AR32" s="356">
        <f t="shared" si="93"/>
        <v>0.33136860264519846</v>
      </c>
      <c r="AS32" s="357">
        <f>AS31/AS5</f>
        <v>0.32952282869893579</v>
      </c>
      <c r="AT32" s="357">
        <f>AT31/AT5</f>
        <v>0.31266696735246147</v>
      </c>
      <c r="AU32" s="357">
        <f>AU31/AU5</f>
        <v>0.30670153644982046</v>
      </c>
      <c r="AV32" s="561">
        <f>AV31/AV5</f>
        <v>0.31978997482104055</v>
      </c>
      <c r="AW32" s="356">
        <f>AW31/AW5</f>
        <v>0.37193724029230529</v>
      </c>
      <c r="AX32" s="357">
        <f t="shared" ref="AX32:AY32" si="94">AX31/AX5</f>
        <v>0.36814916182004787</v>
      </c>
      <c r="AY32" s="357">
        <f t="shared" si="94"/>
        <v>0.35282118655787575</v>
      </c>
      <c r="AZ32" s="357">
        <f t="shared" ref="AZ32" si="95">AZ31/AZ5</f>
        <v>0.34596461503372328</v>
      </c>
      <c r="BA32" s="561">
        <f>BA31/BA5</f>
        <v>0.35942652084171944</v>
      </c>
      <c r="BB32" s="356">
        <f>BB31/BB5</f>
        <v>0.36043139424960502</v>
      </c>
      <c r="BC32" s="357" t="e">
        <f t="shared" ref="BC32:BE32" si="96">BC31/BC5</f>
        <v>#DIV/0!</v>
      </c>
      <c r="BD32" s="357" t="e">
        <f t="shared" si="96"/>
        <v>#DIV/0!</v>
      </c>
      <c r="BE32" s="357" t="e">
        <f t="shared" si="96"/>
        <v>#DIV/0!</v>
      </c>
      <c r="BF32" s="561">
        <f>BF31/BF5</f>
        <v>0.36043139424960502</v>
      </c>
    </row>
    <row r="33" spans="1:16381" ht="15" customHeight="1">
      <c r="A33" s="361"/>
      <c r="B33" s="361"/>
      <c r="C33" s="362"/>
      <c r="D33" s="362"/>
      <c r="E33" s="362"/>
      <c r="F33" s="362"/>
      <c r="G33" s="362"/>
      <c r="H33" s="362"/>
      <c r="I33" s="363"/>
      <c r="J33" s="364"/>
      <c r="K33" s="364"/>
      <c r="U33" s="10"/>
      <c r="V33" s="10"/>
      <c r="W33" s="10"/>
      <c r="X33" s="10"/>
      <c r="Y33" s="270"/>
      <c r="Z33" s="10"/>
      <c r="AA33" s="10"/>
      <c r="AB33" s="10"/>
      <c r="AC33" s="10"/>
      <c r="AD33" s="270"/>
      <c r="AE33" s="10"/>
      <c r="AF33" s="10"/>
      <c r="AG33" s="10"/>
      <c r="AH33" s="10"/>
      <c r="AI33" s="270"/>
      <c r="AJ33" s="10"/>
      <c r="AK33" s="562"/>
      <c r="AL33" s="7"/>
      <c r="AM33" s="10"/>
      <c r="AN33" s="429"/>
      <c r="AO33" s="270"/>
      <c r="AP33" s="10"/>
      <c r="AQ33" s="429"/>
      <c r="AR33" s="10"/>
      <c r="AS33" s="429"/>
      <c r="AT33" s="270"/>
      <c r="AU33" s="10"/>
      <c r="AV33" s="429"/>
      <c r="AW33" s="10"/>
      <c r="AX33" s="429"/>
      <c r="AY33" s="270"/>
      <c r="AZ33" s="10"/>
      <c r="BA33" s="429"/>
      <c r="BB33" s="10"/>
      <c r="BC33" s="429"/>
      <c r="BD33" s="270"/>
      <c r="BE33" s="10"/>
      <c r="BF33" s="429"/>
    </row>
    <row r="34" spans="1:16381" ht="33" customHeight="1">
      <c r="A34" s="646" t="s">
        <v>190</v>
      </c>
      <c r="B34" s="652" t="s">
        <v>269</v>
      </c>
      <c r="C34" s="651"/>
      <c r="D34" s="651"/>
      <c r="E34" s="651"/>
      <c r="F34" s="651"/>
      <c r="G34" s="651"/>
      <c r="H34" s="651"/>
      <c r="I34" s="651"/>
      <c r="J34" s="651"/>
      <c r="K34" s="651"/>
      <c r="L34" s="651"/>
      <c r="M34" s="651"/>
      <c r="N34" s="651"/>
      <c r="O34" s="646"/>
      <c r="P34" s="646"/>
      <c r="Q34" s="646"/>
      <c r="R34" s="646"/>
      <c r="S34" s="707"/>
      <c r="T34" s="707"/>
      <c r="U34" s="707"/>
      <c r="V34" s="707"/>
      <c r="W34" s="707"/>
      <c r="X34" s="707"/>
      <c r="Y34" s="707"/>
      <c r="Z34" s="707"/>
      <c r="AA34" s="707"/>
      <c r="AB34" s="707"/>
      <c r="AC34" s="707"/>
      <c r="AD34" s="707"/>
      <c r="AE34" s="707"/>
      <c r="AF34" s="707"/>
      <c r="AG34" s="707"/>
      <c r="AH34" s="12"/>
      <c r="AI34" s="263"/>
      <c r="AJ34" s="12"/>
      <c r="AK34" s="563"/>
      <c r="AL34" s="7"/>
      <c r="AM34" s="12"/>
      <c r="AN34" s="12"/>
      <c r="AO34" s="263"/>
      <c r="AP34" s="12"/>
      <c r="AQ34" s="12"/>
      <c r="AR34" s="12"/>
      <c r="AS34" s="12"/>
      <c r="AT34" s="263"/>
      <c r="AU34" s="12"/>
      <c r="AV34" s="12"/>
      <c r="AW34" s="12"/>
      <c r="AX34" s="707"/>
      <c r="AY34" s="707"/>
      <c r="AZ34" s="707"/>
      <c r="BA34" s="707"/>
      <c r="BB34" s="707"/>
      <c r="BC34" s="707"/>
      <c r="BD34" s="707"/>
      <c r="BE34" s="707"/>
      <c r="BF34" s="707"/>
      <c r="BG34" s="707"/>
      <c r="BH34" s="707"/>
      <c r="BI34" s="707"/>
      <c r="BJ34" s="707"/>
      <c r="BK34" s="707"/>
      <c r="BL34" s="707"/>
      <c r="BM34" s="707"/>
      <c r="BN34" s="707"/>
      <c r="BO34" s="707"/>
      <c r="BP34" s="707"/>
      <c r="BQ34" s="707"/>
      <c r="BR34" s="707"/>
      <c r="BS34" s="707"/>
      <c r="BT34" s="707"/>
      <c r="BU34" s="707"/>
      <c r="BV34" s="707"/>
      <c r="BW34" s="707"/>
      <c r="BX34" s="707"/>
      <c r="BY34" s="707"/>
      <c r="BZ34" s="707"/>
      <c r="CA34" s="707"/>
      <c r="CB34" s="707"/>
      <c r="CC34" s="707"/>
      <c r="CD34" s="707"/>
      <c r="CE34" s="707"/>
      <c r="CF34" s="707"/>
      <c r="CG34" s="707"/>
      <c r="CH34" s="707"/>
      <c r="CI34" s="707"/>
      <c r="CJ34" s="707"/>
      <c r="CK34" s="707"/>
      <c r="CL34" s="707"/>
      <c r="CM34" s="707"/>
      <c r="CN34" s="707"/>
      <c r="CO34" s="707"/>
      <c r="CP34" s="707"/>
      <c r="CQ34" s="707"/>
      <c r="CR34" s="707"/>
      <c r="CS34" s="707"/>
      <c r="CT34" s="707"/>
      <c r="CU34" s="707"/>
      <c r="CV34" s="707"/>
      <c r="CW34" s="707"/>
      <c r="CX34" s="707"/>
      <c r="CY34" s="707"/>
      <c r="CZ34" s="707"/>
      <c r="DA34" s="707"/>
      <c r="DB34" s="707"/>
      <c r="DC34" s="707"/>
      <c r="DD34" s="707"/>
      <c r="DE34" s="707"/>
      <c r="DF34" s="707"/>
      <c r="DG34" s="707"/>
      <c r="DH34" s="707"/>
      <c r="DI34" s="707"/>
      <c r="DJ34" s="707"/>
      <c r="DK34" s="707"/>
      <c r="DL34" s="707"/>
      <c r="DM34" s="707"/>
      <c r="DN34" s="707"/>
      <c r="DO34" s="707"/>
      <c r="DP34" s="707"/>
      <c r="DQ34" s="707"/>
      <c r="DR34" s="707"/>
      <c r="DS34" s="707"/>
      <c r="DT34" s="707"/>
      <c r="DU34" s="707"/>
      <c r="DV34" s="707"/>
      <c r="DW34" s="707"/>
      <c r="DX34" s="707"/>
      <c r="DY34" s="707"/>
      <c r="DZ34" s="707"/>
      <c r="EA34" s="707"/>
      <c r="EB34" s="707"/>
      <c r="EC34" s="707"/>
      <c r="ED34" s="707"/>
      <c r="EE34" s="707"/>
      <c r="EF34" s="707"/>
      <c r="EG34" s="707"/>
      <c r="EH34" s="707"/>
      <c r="EI34" s="707"/>
      <c r="EJ34" s="707"/>
      <c r="EK34" s="707"/>
      <c r="EL34" s="707"/>
      <c r="EM34" s="707"/>
      <c r="EN34" s="707"/>
      <c r="EO34" s="707"/>
      <c r="EP34" s="707"/>
      <c r="EQ34" s="707"/>
      <c r="ER34" s="707"/>
      <c r="ES34" s="707"/>
      <c r="ET34" s="707"/>
      <c r="EU34" s="707"/>
      <c r="EV34" s="707"/>
      <c r="EW34" s="707"/>
      <c r="EX34" s="707"/>
      <c r="EY34" s="707"/>
      <c r="EZ34" s="707"/>
      <c r="FA34" s="707"/>
      <c r="FB34" s="707"/>
      <c r="FC34" s="707"/>
      <c r="FD34" s="707"/>
      <c r="FE34" s="707"/>
      <c r="FF34" s="707"/>
      <c r="FG34" s="707"/>
      <c r="FH34" s="707"/>
      <c r="FI34" s="707"/>
      <c r="FJ34" s="707"/>
      <c r="FK34" s="707"/>
      <c r="FL34" s="707"/>
      <c r="FM34" s="707"/>
      <c r="FN34" s="707"/>
      <c r="FO34" s="707"/>
      <c r="FP34" s="707"/>
      <c r="FQ34" s="707"/>
      <c r="FR34" s="707"/>
      <c r="FS34" s="707"/>
      <c r="FT34" s="707"/>
      <c r="FU34" s="707"/>
      <c r="FV34" s="707"/>
      <c r="FW34" s="707"/>
      <c r="FX34" s="707"/>
      <c r="FY34" s="707"/>
      <c r="FZ34" s="707"/>
      <c r="GA34" s="707"/>
      <c r="GB34" s="707"/>
      <c r="GC34" s="707"/>
      <c r="GD34" s="707"/>
      <c r="GE34" s="707"/>
      <c r="GF34" s="707"/>
      <c r="GG34" s="707"/>
      <c r="GH34" s="707"/>
      <c r="GI34" s="707"/>
      <c r="GJ34" s="707"/>
      <c r="GK34" s="707"/>
      <c r="GL34" s="707"/>
      <c r="GM34" s="707"/>
      <c r="GN34" s="707"/>
      <c r="GO34" s="707"/>
      <c r="GP34" s="707"/>
      <c r="GQ34" s="707"/>
      <c r="GR34" s="707"/>
      <c r="GS34" s="707"/>
      <c r="GT34" s="707"/>
      <c r="GU34" s="707"/>
      <c r="GV34" s="707"/>
      <c r="GW34" s="707"/>
      <c r="GX34" s="707"/>
      <c r="GY34" s="707"/>
      <c r="GZ34" s="707"/>
      <c r="HA34" s="707"/>
      <c r="HB34" s="707"/>
      <c r="HC34" s="707"/>
      <c r="HD34" s="707"/>
      <c r="HE34" s="707"/>
      <c r="HF34" s="707"/>
      <c r="HG34" s="707"/>
      <c r="HH34" s="707"/>
      <c r="HI34" s="707"/>
      <c r="HJ34" s="707"/>
      <c r="HK34" s="707"/>
      <c r="HL34" s="707"/>
      <c r="HM34" s="707"/>
      <c r="HN34" s="707"/>
      <c r="HO34" s="707"/>
      <c r="HP34" s="707"/>
      <c r="HQ34" s="707"/>
      <c r="HR34" s="707"/>
      <c r="HS34" s="707"/>
      <c r="HT34" s="707"/>
      <c r="HU34" s="707"/>
      <c r="HV34" s="707"/>
      <c r="HW34" s="707"/>
      <c r="HX34" s="707"/>
      <c r="HY34" s="707"/>
      <c r="HZ34" s="707"/>
      <c r="IA34" s="707"/>
      <c r="IB34" s="707"/>
      <c r="IC34" s="707"/>
      <c r="ID34" s="707"/>
      <c r="IE34" s="707"/>
      <c r="IF34" s="707"/>
      <c r="IG34" s="707"/>
      <c r="IH34" s="707"/>
      <c r="II34" s="707"/>
      <c r="IJ34" s="707"/>
      <c r="IK34" s="707"/>
      <c r="IL34" s="707"/>
      <c r="IM34" s="707"/>
      <c r="IN34" s="707"/>
      <c r="IO34" s="707"/>
      <c r="IP34" s="707"/>
      <c r="IQ34" s="707"/>
      <c r="IR34" s="707"/>
      <c r="IS34" s="707"/>
      <c r="IT34" s="707"/>
      <c r="IU34" s="707"/>
      <c r="IV34" s="707"/>
      <c r="IW34" s="707"/>
      <c r="IX34" s="707"/>
      <c r="IY34" s="707"/>
      <c r="IZ34" s="707"/>
      <c r="JA34" s="707"/>
      <c r="JB34" s="707"/>
      <c r="JC34" s="707"/>
      <c r="JD34" s="707"/>
      <c r="JE34" s="707"/>
      <c r="JF34" s="707"/>
      <c r="JG34" s="707"/>
      <c r="JH34" s="707"/>
      <c r="JI34" s="707"/>
      <c r="JJ34" s="707"/>
      <c r="JK34" s="707"/>
      <c r="JL34" s="707"/>
      <c r="JM34" s="707"/>
      <c r="JN34" s="707"/>
      <c r="JO34" s="707"/>
      <c r="JP34" s="707"/>
      <c r="JQ34" s="707"/>
      <c r="JR34" s="707"/>
      <c r="JS34" s="707"/>
      <c r="JT34" s="707"/>
      <c r="JU34" s="707"/>
      <c r="JV34" s="707"/>
      <c r="JW34" s="707"/>
      <c r="JX34" s="707"/>
      <c r="JY34" s="707"/>
      <c r="JZ34" s="707"/>
      <c r="KA34" s="707"/>
      <c r="KB34" s="707"/>
      <c r="KC34" s="707"/>
      <c r="KD34" s="707"/>
      <c r="KE34" s="707"/>
      <c r="KF34" s="707"/>
      <c r="KG34" s="707"/>
      <c r="KH34" s="707"/>
      <c r="KI34" s="707"/>
      <c r="KJ34" s="707"/>
      <c r="KK34" s="707"/>
      <c r="KL34" s="707"/>
      <c r="KM34" s="707"/>
      <c r="KN34" s="707"/>
      <c r="KO34" s="707"/>
      <c r="KP34" s="707"/>
      <c r="KQ34" s="707"/>
      <c r="KR34" s="707"/>
      <c r="KS34" s="707"/>
      <c r="KT34" s="707"/>
      <c r="KU34" s="707"/>
      <c r="KV34" s="707"/>
      <c r="KW34" s="707"/>
      <c r="KX34" s="707"/>
      <c r="KY34" s="707"/>
      <c r="KZ34" s="707"/>
      <c r="LA34" s="707"/>
      <c r="LB34" s="707"/>
      <c r="LC34" s="707"/>
      <c r="LD34" s="707"/>
      <c r="LE34" s="707"/>
      <c r="LF34" s="707"/>
      <c r="LG34" s="707"/>
      <c r="LH34" s="707"/>
      <c r="LI34" s="707"/>
      <c r="LJ34" s="707"/>
      <c r="LK34" s="707"/>
      <c r="LL34" s="707"/>
      <c r="LM34" s="707"/>
      <c r="LN34" s="707"/>
      <c r="LO34" s="707"/>
      <c r="LP34" s="707"/>
      <c r="LQ34" s="707"/>
      <c r="LR34" s="707"/>
      <c r="LS34" s="707"/>
      <c r="LT34" s="707"/>
      <c r="LU34" s="707"/>
      <c r="LV34" s="707"/>
      <c r="LW34" s="707"/>
      <c r="LX34" s="707"/>
      <c r="LY34" s="707"/>
      <c r="LZ34" s="707"/>
      <c r="MA34" s="707"/>
      <c r="MB34" s="707"/>
      <c r="MC34" s="707"/>
      <c r="MD34" s="707"/>
      <c r="ME34" s="707"/>
      <c r="MF34" s="707"/>
      <c r="MG34" s="707"/>
      <c r="MH34" s="707"/>
      <c r="MI34" s="707"/>
      <c r="MJ34" s="707"/>
      <c r="MK34" s="707"/>
      <c r="ML34" s="707"/>
      <c r="MM34" s="707"/>
      <c r="MN34" s="707"/>
      <c r="MO34" s="707"/>
      <c r="MP34" s="707"/>
      <c r="MQ34" s="707"/>
      <c r="MR34" s="707"/>
      <c r="MS34" s="707"/>
      <c r="MT34" s="707"/>
      <c r="MU34" s="707"/>
      <c r="MV34" s="707"/>
      <c r="MW34" s="707"/>
      <c r="MX34" s="707"/>
      <c r="MY34" s="707"/>
      <c r="MZ34" s="707"/>
      <c r="NA34" s="707"/>
      <c r="NB34" s="707"/>
      <c r="NC34" s="707"/>
      <c r="ND34" s="707"/>
      <c r="NE34" s="707"/>
      <c r="NF34" s="707"/>
      <c r="NG34" s="707"/>
      <c r="NH34" s="707"/>
      <c r="NI34" s="707"/>
      <c r="NJ34" s="707"/>
      <c r="NK34" s="707"/>
      <c r="NL34" s="707"/>
      <c r="NM34" s="707"/>
      <c r="NN34" s="707"/>
      <c r="NO34" s="707"/>
      <c r="NP34" s="707"/>
      <c r="NQ34" s="707"/>
      <c r="NR34" s="707"/>
      <c r="NS34" s="707"/>
      <c r="NT34" s="707"/>
      <c r="NU34" s="707"/>
      <c r="NV34" s="707"/>
      <c r="NW34" s="707"/>
      <c r="NX34" s="707"/>
      <c r="NY34" s="707"/>
      <c r="NZ34" s="707"/>
      <c r="OA34" s="707"/>
      <c r="OB34" s="707"/>
      <c r="OC34" s="707"/>
      <c r="OD34" s="707"/>
      <c r="OE34" s="707"/>
      <c r="OF34" s="707"/>
      <c r="OG34" s="707"/>
      <c r="OH34" s="707"/>
      <c r="OI34" s="707"/>
      <c r="OJ34" s="707"/>
      <c r="OK34" s="707"/>
      <c r="OL34" s="707"/>
      <c r="OM34" s="707"/>
      <c r="ON34" s="707"/>
      <c r="OO34" s="707"/>
      <c r="OP34" s="707"/>
      <c r="OQ34" s="707"/>
      <c r="OR34" s="707"/>
      <c r="OS34" s="707"/>
      <c r="OT34" s="707"/>
      <c r="OU34" s="707"/>
      <c r="OV34" s="707"/>
      <c r="OW34" s="707"/>
      <c r="OX34" s="707"/>
      <c r="OY34" s="707"/>
      <c r="OZ34" s="707"/>
      <c r="PA34" s="707"/>
      <c r="PB34" s="707"/>
      <c r="PC34" s="707"/>
      <c r="PD34" s="707"/>
      <c r="PE34" s="707"/>
      <c r="PF34" s="707"/>
      <c r="PG34" s="707"/>
      <c r="PH34" s="707"/>
      <c r="PI34" s="707"/>
      <c r="PJ34" s="707"/>
      <c r="PK34" s="707"/>
      <c r="PL34" s="707"/>
      <c r="PM34" s="707"/>
      <c r="PN34" s="707"/>
      <c r="PO34" s="707"/>
      <c r="PP34" s="707"/>
      <c r="PQ34" s="707"/>
      <c r="PR34" s="707"/>
      <c r="PS34" s="707"/>
      <c r="PT34" s="707"/>
      <c r="PU34" s="707"/>
      <c r="PV34" s="707"/>
      <c r="PW34" s="707"/>
      <c r="PX34" s="707"/>
      <c r="PY34" s="707"/>
      <c r="PZ34" s="707"/>
      <c r="QA34" s="707"/>
      <c r="QB34" s="707"/>
      <c r="QC34" s="707"/>
      <c r="QD34" s="707"/>
      <c r="QE34" s="707"/>
      <c r="QF34" s="707"/>
      <c r="QG34" s="707"/>
      <c r="QH34" s="707"/>
      <c r="QI34" s="707"/>
      <c r="QJ34" s="707"/>
      <c r="QK34" s="707"/>
      <c r="QL34" s="707"/>
      <c r="QM34" s="707"/>
      <c r="QN34" s="707"/>
      <c r="QO34" s="707"/>
      <c r="QP34" s="707"/>
      <c r="QQ34" s="707"/>
      <c r="QR34" s="707"/>
      <c r="QS34" s="707"/>
      <c r="QT34" s="707"/>
      <c r="QU34" s="707"/>
      <c r="QV34" s="707"/>
      <c r="QW34" s="707"/>
      <c r="QX34" s="707"/>
      <c r="QY34" s="707"/>
      <c r="QZ34" s="707"/>
      <c r="RA34" s="707"/>
      <c r="RB34" s="707"/>
      <c r="RC34" s="707"/>
      <c r="RD34" s="707"/>
      <c r="RE34" s="707"/>
      <c r="RF34" s="707"/>
      <c r="RG34" s="707"/>
      <c r="RH34" s="707"/>
      <c r="RI34" s="707"/>
      <c r="RJ34" s="707"/>
      <c r="RK34" s="707"/>
      <c r="RL34" s="707"/>
      <c r="RM34" s="707"/>
      <c r="RN34" s="707"/>
      <c r="RO34" s="707"/>
      <c r="RP34" s="707"/>
      <c r="RQ34" s="707"/>
      <c r="RR34" s="707"/>
      <c r="RS34" s="707"/>
      <c r="RT34" s="707"/>
      <c r="RU34" s="707"/>
      <c r="RV34" s="707"/>
      <c r="RW34" s="707"/>
      <c r="RX34" s="707"/>
      <c r="RY34" s="707"/>
      <c r="RZ34" s="707"/>
      <c r="SA34" s="707"/>
      <c r="SB34" s="707"/>
      <c r="SC34" s="707"/>
      <c r="SD34" s="707"/>
      <c r="SE34" s="707"/>
      <c r="SF34" s="707"/>
      <c r="SG34" s="707"/>
      <c r="SH34" s="707"/>
      <c r="SI34" s="707"/>
      <c r="SJ34" s="707"/>
      <c r="SK34" s="707"/>
      <c r="SL34" s="707"/>
      <c r="SM34" s="707"/>
      <c r="SN34" s="707"/>
      <c r="SO34" s="707"/>
      <c r="SP34" s="707"/>
      <c r="SQ34" s="707"/>
      <c r="SR34" s="707"/>
      <c r="SS34" s="707"/>
      <c r="ST34" s="707"/>
      <c r="SU34" s="707"/>
      <c r="SV34" s="707"/>
      <c r="SW34" s="707"/>
      <c r="SX34" s="707"/>
      <c r="SY34" s="707"/>
      <c r="SZ34" s="707"/>
      <c r="TA34" s="707"/>
      <c r="TB34" s="707"/>
      <c r="TC34" s="707"/>
      <c r="TD34" s="707"/>
      <c r="TE34" s="707"/>
      <c r="TF34" s="707"/>
      <c r="TG34" s="707"/>
      <c r="TH34" s="707"/>
      <c r="TI34" s="707"/>
      <c r="TJ34" s="707"/>
      <c r="TK34" s="707"/>
      <c r="TL34" s="707"/>
      <c r="TM34" s="707"/>
      <c r="TN34" s="707"/>
      <c r="TO34" s="707"/>
      <c r="TP34" s="707"/>
      <c r="TQ34" s="707"/>
      <c r="TR34" s="707"/>
      <c r="TS34" s="707"/>
      <c r="TT34" s="707"/>
      <c r="TU34" s="707"/>
      <c r="TV34" s="707"/>
      <c r="TW34" s="707"/>
      <c r="TX34" s="707"/>
      <c r="TY34" s="707"/>
      <c r="TZ34" s="707"/>
      <c r="UA34" s="707"/>
      <c r="UB34" s="707"/>
      <c r="UC34" s="707"/>
      <c r="UD34" s="707"/>
      <c r="UE34" s="707"/>
      <c r="UF34" s="707"/>
      <c r="UG34" s="707"/>
      <c r="UH34" s="707"/>
      <c r="UI34" s="707"/>
      <c r="UJ34" s="707"/>
      <c r="UK34" s="707"/>
      <c r="UL34" s="707"/>
      <c r="UM34" s="707"/>
      <c r="UN34" s="707"/>
      <c r="UO34" s="707"/>
      <c r="UP34" s="707"/>
      <c r="UQ34" s="707"/>
      <c r="UR34" s="707"/>
      <c r="US34" s="707"/>
      <c r="UT34" s="707"/>
      <c r="UU34" s="707"/>
      <c r="UV34" s="707"/>
      <c r="UW34" s="707"/>
      <c r="UX34" s="707"/>
      <c r="UY34" s="707"/>
      <c r="UZ34" s="707"/>
      <c r="VA34" s="707"/>
      <c r="VB34" s="707"/>
      <c r="VC34" s="707"/>
      <c r="VD34" s="707"/>
      <c r="VE34" s="707"/>
      <c r="VF34" s="707"/>
      <c r="VG34" s="707"/>
      <c r="VH34" s="707"/>
      <c r="VI34" s="707"/>
      <c r="VJ34" s="707"/>
      <c r="VK34" s="707"/>
      <c r="VL34" s="707"/>
      <c r="VM34" s="707"/>
      <c r="VN34" s="707"/>
      <c r="VO34" s="707"/>
      <c r="VP34" s="707"/>
      <c r="VQ34" s="707"/>
      <c r="VR34" s="707"/>
      <c r="VS34" s="707"/>
      <c r="VT34" s="707"/>
      <c r="VU34" s="707"/>
      <c r="VV34" s="707"/>
      <c r="VW34" s="707"/>
      <c r="VX34" s="707"/>
      <c r="VY34" s="707"/>
      <c r="VZ34" s="707"/>
      <c r="WA34" s="707"/>
      <c r="WB34" s="707"/>
      <c r="WC34" s="707"/>
      <c r="WD34" s="707"/>
      <c r="WE34" s="707"/>
      <c r="WF34" s="707"/>
      <c r="WG34" s="707"/>
      <c r="WH34" s="707"/>
      <c r="WI34" s="707"/>
      <c r="WJ34" s="707"/>
      <c r="WK34" s="707"/>
      <c r="WL34" s="707"/>
      <c r="WM34" s="707"/>
      <c r="WN34" s="707"/>
      <c r="WO34" s="707"/>
      <c r="WP34" s="707"/>
      <c r="WQ34" s="707"/>
      <c r="WR34" s="707"/>
      <c r="WS34" s="707"/>
      <c r="WT34" s="707"/>
      <c r="WU34" s="707"/>
      <c r="WV34" s="707"/>
      <c r="WW34" s="707"/>
      <c r="WX34" s="707"/>
      <c r="WY34" s="707"/>
      <c r="WZ34" s="707"/>
      <c r="XA34" s="707"/>
      <c r="XB34" s="707"/>
      <c r="XC34" s="707"/>
      <c r="XD34" s="707"/>
      <c r="XE34" s="707"/>
      <c r="XF34" s="707"/>
      <c r="XG34" s="707"/>
      <c r="XH34" s="707"/>
      <c r="XI34" s="707"/>
      <c r="XJ34" s="707"/>
      <c r="XK34" s="707"/>
      <c r="XL34" s="707"/>
      <c r="XM34" s="707"/>
      <c r="XN34" s="707"/>
      <c r="XO34" s="707"/>
      <c r="XP34" s="707"/>
      <c r="XQ34" s="707"/>
      <c r="XR34" s="707"/>
      <c r="XS34" s="707"/>
      <c r="XT34" s="707"/>
      <c r="XU34" s="707"/>
      <c r="XV34" s="707"/>
      <c r="XW34" s="707"/>
      <c r="XX34" s="707"/>
      <c r="XY34" s="707"/>
      <c r="XZ34" s="707"/>
      <c r="YA34" s="707"/>
      <c r="YB34" s="707"/>
      <c r="YC34" s="707"/>
      <c r="YD34" s="707"/>
      <c r="YE34" s="707"/>
      <c r="YF34" s="707"/>
      <c r="YG34" s="707"/>
      <c r="YH34" s="707"/>
      <c r="YI34" s="707"/>
      <c r="YJ34" s="707"/>
      <c r="YK34" s="707"/>
      <c r="YL34" s="707"/>
      <c r="YM34" s="707"/>
      <c r="YN34" s="707"/>
      <c r="YO34" s="707"/>
      <c r="YP34" s="707"/>
      <c r="YQ34" s="707"/>
      <c r="YR34" s="707"/>
      <c r="YS34" s="707"/>
      <c r="YT34" s="707"/>
      <c r="YU34" s="707"/>
      <c r="YV34" s="707"/>
      <c r="YW34" s="707"/>
      <c r="YX34" s="707"/>
      <c r="YY34" s="707"/>
      <c r="YZ34" s="707"/>
      <c r="ZA34" s="707"/>
      <c r="ZB34" s="707"/>
      <c r="ZC34" s="707"/>
      <c r="ZD34" s="707"/>
      <c r="ZE34" s="707"/>
      <c r="ZF34" s="707"/>
      <c r="ZG34" s="707"/>
      <c r="ZH34" s="707"/>
      <c r="ZI34" s="707"/>
      <c r="ZJ34" s="707"/>
      <c r="ZK34" s="707"/>
      <c r="ZL34" s="707"/>
      <c r="ZM34" s="707"/>
      <c r="ZN34" s="707"/>
      <c r="ZO34" s="707"/>
      <c r="ZP34" s="707"/>
      <c r="ZQ34" s="707"/>
      <c r="ZR34" s="707"/>
      <c r="ZS34" s="707"/>
      <c r="ZT34" s="707"/>
      <c r="ZU34" s="707"/>
      <c r="ZV34" s="707"/>
      <c r="ZW34" s="707"/>
      <c r="ZX34" s="707"/>
      <c r="ZY34" s="707"/>
      <c r="ZZ34" s="707"/>
      <c r="AAA34" s="707"/>
      <c r="AAB34" s="707"/>
      <c r="AAC34" s="707"/>
      <c r="AAD34" s="707"/>
      <c r="AAE34" s="707"/>
      <c r="AAF34" s="707"/>
      <c r="AAG34" s="707"/>
      <c r="AAH34" s="707"/>
      <c r="AAI34" s="707"/>
      <c r="AAJ34" s="707"/>
      <c r="AAK34" s="707"/>
      <c r="AAL34" s="707"/>
      <c r="AAM34" s="707"/>
      <c r="AAN34" s="707"/>
      <c r="AAO34" s="707"/>
      <c r="AAP34" s="707"/>
      <c r="AAQ34" s="707"/>
      <c r="AAR34" s="707"/>
      <c r="AAS34" s="707"/>
      <c r="AAT34" s="707"/>
      <c r="AAU34" s="707"/>
      <c r="AAV34" s="707"/>
      <c r="AAW34" s="707"/>
      <c r="AAX34" s="707"/>
      <c r="AAY34" s="707"/>
      <c r="AAZ34" s="707"/>
      <c r="ABA34" s="707"/>
      <c r="ABB34" s="707"/>
      <c r="ABC34" s="707"/>
      <c r="ABD34" s="707"/>
      <c r="ABE34" s="707"/>
      <c r="ABF34" s="707"/>
      <c r="ABG34" s="707"/>
      <c r="ABH34" s="707"/>
      <c r="ABI34" s="707"/>
      <c r="ABJ34" s="707"/>
      <c r="ABK34" s="707"/>
      <c r="ABL34" s="707"/>
      <c r="ABM34" s="707"/>
      <c r="ABN34" s="707"/>
      <c r="ABO34" s="707"/>
      <c r="ABP34" s="707"/>
      <c r="ABQ34" s="707"/>
      <c r="ABR34" s="707"/>
      <c r="ABS34" s="707"/>
      <c r="ABT34" s="707"/>
      <c r="ABU34" s="707"/>
      <c r="ABV34" s="707"/>
      <c r="ABW34" s="707"/>
      <c r="ABX34" s="707"/>
      <c r="ABY34" s="707"/>
      <c r="ABZ34" s="707"/>
      <c r="ACA34" s="707"/>
      <c r="ACB34" s="707"/>
      <c r="ACC34" s="707"/>
      <c r="ACD34" s="707"/>
      <c r="ACE34" s="707"/>
      <c r="ACF34" s="707"/>
      <c r="ACG34" s="707"/>
      <c r="ACH34" s="707"/>
      <c r="ACI34" s="707"/>
      <c r="ACJ34" s="707"/>
      <c r="ACK34" s="707"/>
      <c r="ACL34" s="707"/>
      <c r="ACM34" s="707"/>
      <c r="ACN34" s="707"/>
      <c r="ACO34" s="707"/>
      <c r="ACP34" s="707"/>
      <c r="ACQ34" s="707"/>
      <c r="ACR34" s="707"/>
      <c r="ACS34" s="707"/>
      <c r="ACT34" s="707"/>
      <c r="ACU34" s="707"/>
      <c r="ACV34" s="707"/>
      <c r="ACW34" s="707"/>
      <c r="ACX34" s="707"/>
      <c r="ACY34" s="707"/>
      <c r="ACZ34" s="707"/>
      <c r="ADA34" s="707"/>
      <c r="ADB34" s="707"/>
      <c r="ADC34" s="707"/>
      <c r="ADD34" s="707"/>
      <c r="ADE34" s="707"/>
      <c r="ADF34" s="707"/>
      <c r="ADG34" s="707"/>
      <c r="ADH34" s="707"/>
      <c r="ADI34" s="707"/>
      <c r="ADJ34" s="707"/>
      <c r="ADK34" s="707"/>
      <c r="ADL34" s="707"/>
      <c r="ADM34" s="707"/>
      <c r="ADN34" s="707"/>
      <c r="ADO34" s="707"/>
      <c r="ADP34" s="707"/>
      <c r="ADQ34" s="707"/>
      <c r="ADR34" s="707"/>
      <c r="ADS34" s="707"/>
      <c r="ADT34" s="707"/>
      <c r="ADU34" s="707"/>
      <c r="ADV34" s="707"/>
      <c r="ADW34" s="707"/>
      <c r="ADX34" s="707"/>
      <c r="ADY34" s="707"/>
      <c r="ADZ34" s="707"/>
      <c r="AEA34" s="707"/>
      <c r="AEB34" s="707"/>
      <c r="AEC34" s="707"/>
      <c r="AED34" s="707"/>
      <c r="AEE34" s="707"/>
      <c r="AEF34" s="707"/>
      <c r="AEG34" s="707"/>
      <c r="AEH34" s="707"/>
      <c r="AEI34" s="707"/>
      <c r="AEJ34" s="707"/>
      <c r="AEK34" s="707"/>
      <c r="AEL34" s="707"/>
      <c r="AEM34" s="707"/>
      <c r="AEN34" s="707"/>
      <c r="AEO34" s="707"/>
      <c r="AEP34" s="707"/>
      <c r="AEQ34" s="707"/>
      <c r="AER34" s="707"/>
      <c r="AES34" s="707"/>
      <c r="AET34" s="707"/>
      <c r="AEU34" s="707"/>
      <c r="AEV34" s="707"/>
      <c r="AEW34" s="707"/>
      <c r="AEX34" s="707"/>
      <c r="AEY34" s="707"/>
      <c r="AEZ34" s="707"/>
      <c r="AFA34" s="707"/>
      <c r="AFB34" s="707"/>
      <c r="AFC34" s="707"/>
      <c r="AFD34" s="707"/>
      <c r="AFE34" s="707"/>
      <c r="AFF34" s="707"/>
      <c r="AFG34" s="707"/>
      <c r="AFH34" s="707"/>
      <c r="AFI34" s="707"/>
      <c r="AFJ34" s="707"/>
      <c r="AFK34" s="707"/>
      <c r="AFL34" s="707"/>
      <c r="AFM34" s="707"/>
      <c r="AFN34" s="707"/>
      <c r="AFO34" s="707"/>
      <c r="AFP34" s="707"/>
      <c r="AFQ34" s="707"/>
      <c r="AFR34" s="707"/>
      <c r="AFS34" s="707"/>
      <c r="AFT34" s="707"/>
      <c r="AFU34" s="707"/>
      <c r="AFV34" s="707"/>
      <c r="AFW34" s="707"/>
      <c r="AFX34" s="707"/>
      <c r="AFY34" s="707"/>
      <c r="AFZ34" s="707"/>
      <c r="AGA34" s="707"/>
      <c r="AGB34" s="707"/>
      <c r="AGC34" s="707"/>
      <c r="AGD34" s="707"/>
      <c r="AGE34" s="707"/>
      <c r="AGF34" s="707"/>
      <c r="AGG34" s="707"/>
      <c r="AGH34" s="707"/>
      <c r="AGI34" s="707"/>
      <c r="AGJ34" s="707"/>
      <c r="AGK34" s="707"/>
      <c r="AGL34" s="707"/>
      <c r="AGM34" s="707"/>
      <c r="AGN34" s="707"/>
      <c r="AGO34" s="707"/>
      <c r="AGP34" s="707"/>
      <c r="AGQ34" s="707"/>
      <c r="AGR34" s="707"/>
      <c r="AGS34" s="707"/>
      <c r="AGT34" s="707"/>
      <c r="AGU34" s="707"/>
      <c r="AGV34" s="707"/>
      <c r="AGW34" s="707"/>
      <c r="AGX34" s="707"/>
      <c r="AGY34" s="707"/>
      <c r="AGZ34" s="707"/>
      <c r="AHA34" s="707"/>
      <c r="AHB34" s="707"/>
      <c r="AHC34" s="707"/>
      <c r="AHD34" s="707"/>
      <c r="AHE34" s="707"/>
      <c r="AHF34" s="707"/>
      <c r="AHG34" s="707"/>
      <c r="AHH34" s="707"/>
      <c r="AHI34" s="707"/>
      <c r="AHJ34" s="707"/>
      <c r="AHK34" s="707"/>
      <c r="AHL34" s="707"/>
      <c r="AHM34" s="707"/>
      <c r="AHN34" s="707"/>
      <c r="AHO34" s="707"/>
      <c r="AHP34" s="707"/>
      <c r="AHQ34" s="707"/>
      <c r="AHR34" s="707"/>
      <c r="AHS34" s="707"/>
      <c r="AHT34" s="707"/>
      <c r="AHU34" s="707"/>
      <c r="AHV34" s="707"/>
      <c r="AHW34" s="707"/>
      <c r="AHX34" s="707"/>
      <c r="AHY34" s="707"/>
      <c r="AHZ34" s="707"/>
      <c r="AIA34" s="707"/>
      <c r="AIB34" s="707"/>
      <c r="AIC34" s="707"/>
      <c r="AID34" s="707"/>
      <c r="AIE34" s="707"/>
      <c r="AIF34" s="707"/>
      <c r="AIG34" s="707"/>
      <c r="AIH34" s="707"/>
      <c r="AII34" s="707"/>
      <c r="AIJ34" s="707"/>
      <c r="AIK34" s="707"/>
      <c r="AIL34" s="707"/>
      <c r="AIM34" s="707"/>
      <c r="AIN34" s="707"/>
      <c r="AIO34" s="707"/>
      <c r="AIP34" s="707"/>
      <c r="AIQ34" s="707"/>
      <c r="AIR34" s="707"/>
      <c r="AIS34" s="707"/>
      <c r="AIT34" s="707"/>
      <c r="AIU34" s="707"/>
      <c r="AIV34" s="707"/>
      <c r="AIW34" s="707"/>
      <c r="AIX34" s="707"/>
      <c r="AIY34" s="707"/>
      <c r="AIZ34" s="707"/>
      <c r="AJA34" s="707"/>
      <c r="AJB34" s="707"/>
      <c r="AJC34" s="707"/>
      <c r="AJD34" s="707"/>
      <c r="AJE34" s="707"/>
      <c r="AJF34" s="707"/>
      <c r="AJG34" s="707"/>
      <c r="AJH34" s="707"/>
      <c r="AJI34" s="707"/>
      <c r="AJJ34" s="707"/>
      <c r="AJK34" s="707"/>
      <c r="AJL34" s="707"/>
      <c r="AJM34" s="707"/>
      <c r="AJN34" s="707"/>
      <c r="AJO34" s="707"/>
      <c r="AJP34" s="707"/>
      <c r="AJQ34" s="707"/>
      <c r="AJR34" s="707"/>
      <c r="AJS34" s="707"/>
      <c r="AJT34" s="707"/>
      <c r="AJU34" s="707"/>
      <c r="AJV34" s="707"/>
      <c r="AJW34" s="707"/>
      <c r="AJX34" s="707"/>
      <c r="AJY34" s="707"/>
      <c r="AJZ34" s="707"/>
      <c r="AKA34" s="707"/>
      <c r="AKB34" s="707"/>
      <c r="AKC34" s="707"/>
      <c r="AKD34" s="707"/>
      <c r="AKE34" s="707"/>
      <c r="AKF34" s="707"/>
      <c r="AKG34" s="707"/>
      <c r="AKH34" s="707"/>
      <c r="AKI34" s="707"/>
      <c r="AKJ34" s="707"/>
      <c r="AKK34" s="707"/>
      <c r="AKL34" s="707"/>
      <c r="AKM34" s="707"/>
      <c r="AKN34" s="707"/>
      <c r="AKO34" s="707"/>
      <c r="AKP34" s="707"/>
      <c r="AKQ34" s="707"/>
      <c r="AKR34" s="707"/>
      <c r="AKS34" s="707"/>
      <c r="AKT34" s="707"/>
      <c r="AKU34" s="707"/>
      <c r="AKV34" s="707"/>
      <c r="AKW34" s="707"/>
      <c r="AKX34" s="707"/>
      <c r="AKY34" s="707"/>
      <c r="AKZ34" s="707"/>
      <c r="ALA34" s="707"/>
      <c r="ALB34" s="707"/>
      <c r="ALC34" s="707"/>
      <c r="ALD34" s="707"/>
      <c r="ALE34" s="707"/>
      <c r="ALF34" s="707"/>
      <c r="ALG34" s="707"/>
      <c r="ALH34" s="707"/>
      <c r="ALI34" s="707"/>
      <c r="ALJ34" s="707"/>
      <c r="ALK34" s="707"/>
      <c r="ALL34" s="707"/>
      <c r="ALM34" s="707"/>
      <c r="ALN34" s="707"/>
      <c r="ALO34" s="707"/>
      <c r="ALP34" s="707"/>
      <c r="ALQ34" s="707"/>
      <c r="ALR34" s="707"/>
      <c r="ALS34" s="707"/>
      <c r="ALT34" s="707"/>
      <c r="ALU34" s="707"/>
      <c r="ALV34" s="707"/>
      <c r="ALW34" s="707"/>
      <c r="ALX34" s="707"/>
      <c r="ALY34" s="707"/>
      <c r="ALZ34" s="707"/>
      <c r="AMA34" s="707"/>
      <c r="AMB34" s="707"/>
      <c r="AMC34" s="707"/>
      <c r="AMD34" s="707"/>
      <c r="AME34" s="707"/>
      <c r="AMF34" s="707"/>
      <c r="AMG34" s="707"/>
      <c r="AMH34" s="707"/>
      <c r="AMI34" s="707"/>
      <c r="AMJ34" s="707"/>
      <c r="AMK34" s="707"/>
      <c r="AML34" s="707"/>
      <c r="AMM34" s="707"/>
      <c r="AMN34" s="707"/>
      <c r="AMO34" s="707"/>
      <c r="AMP34" s="707"/>
      <c r="AMQ34" s="707"/>
      <c r="AMR34" s="707"/>
      <c r="AMS34" s="707"/>
      <c r="AMT34" s="707"/>
      <c r="AMU34" s="707"/>
      <c r="AMV34" s="707"/>
      <c r="AMW34" s="707"/>
      <c r="AMX34" s="707"/>
      <c r="AMY34" s="707"/>
      <c r="AMZ34" s="707"/>
      <c r="ANA34" s="707"/>
      <c r="ANB34" s="707"/>
      <c r="ANC34" s="707"/>
      <c r="AND34" s="707"/>
      <c r="ANE34" s="707"/>
      <c r="ANF34" s="707"/>
      <c r="ANG34" s="707"/>
      <c r="ANH34" s="707"/>
      <c r="ANI34" s="707"/>
      <c r="ANJ34" s="707"/>
      <c r="ANK34" s="707"/>
      <c r="ANL34" s="707"/>
      <c r="ANM34" s="707"/>
      <c r="ANN34" s="707"/>
      <c r="ANO34" s="707"/>
      <c r="ANP34" s="707"/>
      <c r="ANQ34" s="707"/>
      <c r="ANR34" s="707"/>
      <c r="ANS34" s="707"/>
      <c r="ANT34" s="707"/>
      <c r="ANU34" s="707"/>
      <c r="ANV34" s="707"/>
      <c r="ANW34" s="707"/>
      <c r="ANX34" s="707"/>
      <c r="ANY34" s="707"/>
      <c r="ANZ34" s="707"/>
      <c r="AOA34" s="707"/>
      <c r="AOB34" s="707"/>
      <c r="AOC34" s="707"/>
      <c r="AOD34" s="707"/>
      <c r="AOE34" s="707"/>
      <c r="AOF34" s="707"/>
      <c r="AOG34" s="707"/>
      <c r="AOH34" s="707"/>
      <c r="AOI34" s="707"/>
      <c r="AOJ34" s="707"/>
      <c r="AOK34" s="707"/>
      <c r="AOL34" s="707"/>
      <c r="AOM34" s="707"/>
      <c r="AON34" s="707"/>
      <c r="AOO34" s="707"/>
      <c r="AOP34" s="707"/>
      <c r="AOQ34" s="707"/>
      <c r="AOR34" s="707"/>
      <c r="AOS34" s="707"/>
      <c r="AOT34" s="707"/>
      <c r="AOU34" s="707"/>
      <c r="AOV34" s="707"/>
      <c r="AOW34" s="707"/>
      <c r="AOX34" s="707"/>
      <c r="AOY34" s="707"/>
      <c r="AOZ34" s="707"/>
      <c r="APA34" s="707"/>
      <c r="APB34" s="707"/>
      <c r="APC34" s="707"/>
      <c r="APD34" s="707"/>
      <c r="APE34" s="707"/>
      <c r="APF34" s="707"/>
      <c r="APG34" s="707"/>
      <c r="APH34" s="707"/>
      <c r="API34" s="707"/>
      <c r="APJ34" s="707"/>
      <c r="APK34" s="707"/>
      <c r="APL34" s="707"/>
      <c r="APM34" s="707"/>
      <c r="APN34" s="707"/>
      <c r="APO34" s="707"/>
      <c r="APP34" s="707"/>
      <c r="APQ34" s="707"/>
      <c r="APR34" s="707"/>
      <c r="APS34" s="707"/>
      <c r="APT34" s="707"/>
      <c r="APU34" s="707"/>
      <c r="APV34" s="707"/>
      <c r="APW34" s="707"/>
      <c r="APX34" s="707"/>
      <c r="APY34" s="707"/>
      <c r="APZ34" s="707"/>
      <c r="AQA34" s="707"/>
      <c r="AQB34" s="707"/>
      <c r="AQC34" s="707"/>
      <c r="AQD34" s="707"/>
      <c r="AQE34" s="707"/>
      <c r="AQF34" s="707"/>
      <c r="AQG34" s="707"/>
      <c r="AQH34" s="707"/>
      <c r="AQI34" s="707"/>
      <c r="AQJ34" s="707"/>
      <c r="AQK34" s="707"/>
      <c r="AQL34" s="707"/>
      <c r="AQM34" s="707"/>
      <c r="AQN34" s="707"/>
      <c r="AQO34" s="707"/>
      <c r="AQP34" s="707"/>
      <c r="AQQ34" s="707"/>
      <c r="AQR34" s="707"/>
      <c r="AQS34" s="707"/>
      <c r="AQT34" s="707"/>
      <c r="AQU34" s="707"/>
      <c r="AQV34" s="707"/>
      <c r="AQW34" s="707"/>
      <c r="AQX34" s="707"/>
      <c r="AQY34" s="707"/>
      <c r="AQZ34" s="707"/>
      <c r="ARA34" s="707"/>
      <c r="ARB34" s="707"/>
      <c r="ARC34" s="707"/>
      <c r="ARD34" s="707"/>
      <c r="ARE34" s="707"/>
      <c r="ARF34" s="707"/>
      <c r="ARG34" s="707"/>
      <c r="ARH34" s="707"/>
      <c r="ARI34" s="707"/>
      <c r="ARJ34" s="707"/>
      <c r="ARK34" s="707"/>
      <c r="ARL34" s="707"/>
      <c r="ARM34" s="707"/>
      <c r="ARN34" s="707"/>
      <c r="ARO34" s="707"/>
      <c r="ARP34" s="707"/>
      <c r="ARQ34" s="707"/>
      <c r="ARR34" s="707"/>
      <c r="ARS34" s="707"/>
      <c r="ART34" s="707"/>
      <c r="ARU34" s="707"/>
      <c r="ARV34" s="707"/>
      <c r="ARW34" s="707"/>
      <c r="ARX34" s="707"/>
      <c r="ARY34" s="707"/>
      <c r="ARZ34" s="707"/>
      <c r="ASA34" s="707"/>
      <c r="ASB34" s="707"/>
      <c r="ASC34" s="707"/>
      <c r="ASD34" s="707"/>
      <c r="ASE34" s="707"/>
      <c r="ASF34" s="707"/>
      <c r="ASG34" s="707"/>
      <c r="ASH34" s="707"/>
      <c r="ASI34" s="707"/>
      <c r="ASJ34" s="707"/>
      <c r="ASK34" s="707"/>
      <c r="ASL34" s="707"/>
      <c r="ASM34" s="707"/>
      <c r="ASN34" s="707"/>
      <c r="ASO34" s="707"/>
      <c r="ASP34" s="707"/>
      <c r="ASQ34" s="707"/>
      <c r="ASR34" s="707"/>
      <c r="ASS34" s="707"/>
      <c r="AST34" s="707"/>
      <c r="ASU34" s="707"/>
      <c r="ASV34" s="707"/>
      <c r="ASW34" s="707"/>
      <c r="ASX34" s="707"/>
      <c r="ASY34" s="707"/>
      <c r="ASZ34" s="707"/>
      <c r="ATA34" s="707"/>
      <c r="ATB34" s="707"/>
      <c r="ATC34" s="707"/>
      <c r="ATD34" s="707"/>
      <c r="ATE34" s="707"/>
      <c r="ATF34" s="707"/>
      <c r="ATG34" s="707"/>
      <c r="ATH34" s="707"/>
      <c r="ATI34" s="707"/>
      <c r="ATJ34" s="707"/>
      <c r="ATK34" s="707"/>
      <c r="ATL34" s="707"/>
      <c r="ATM34" s="707"/>
      <c r="ATN34" s="707"/>
      <c r="ATO34" s="707"/>
      <c r="ATP34" s="707"/>
      <c r="ATQ34" s="707"/>
      <c r="ATR34" s="707"/>
      <c r="ATS34" s="707"/>
      <c r="ATT34" s="707"/>
      <c r="ATU34" s="707"/>
      <c r="ATV34" s="707"/>
      <c r="ATW34" s="707"/>
      <c r="ATX34" s="707"/>
      <c r="ATY34" s="707"/>
      <c r="ATZ34" s="707"/>
      <c r="AUA34" s="707"/>
      <c r="AUB34" s="707"/>
      <c r="AUC34" s="707"/>
      <c r="AUD34" s="707"/>
      <c r="AUE34" s="707"/>
      <c r="AUF34" s="707"/>
      <c r="AUG34" s="707"/>
      <c r="AUH34" s="707"/>
      <c r="AUI34" s="707"/>
      <c r="AUJ34" s="707"/>
      <c r="AUK34" s="707"/>
      <c r="AUL34" s="707"/>
      <c r="AUM34" s="707"/>
      <c r="AUN34" s="707"/>
      <c r="AUO34" s="707"/>
      <c r="AUP34" s="707"/>
      <c r="AUQ34" s="707"/>
      <c r="AUR34" s="707"/>
      <c r="AUS34" s="707"/>
      <c r="AUT34" s="707"/>
      <c r="AUU34" s="707"/>
      <c r="AUV34" s="707"/>
      <c r="AUW34" s="707"/>
      <c r="AUX34" s="707"/>
      <c r="AUY34" s="707"/>
      <c r="AUZ34" s="707"/>
      <c r="AVA34" s="707"/>
      <c r="AVB34" s="707"/>
      <c r="AVC34" s="707"/>
      <c r="AVD34" s="707"/>
      <c r="AVE34" s="707"/>
      <c r="AVF34" s="707"/>
      <c r="AVG34" s="707"/>
      <c r="AVH34" s="707"/>
      <c r="AVI34" s="707"/>
      <c r="AVJ34" s="707"/>
      <c r="AVK34" s="707"/>
      <c r="AVL34" s="707"/>
      <c r="AVM34" s="707"/>
      <c r="AVN34" s="707"/>
      <c r="AVO34" s="707"/>
      <c r="AVP34" s="707"/>
      <c r="AVQ34" s="707"/>
      <c r="AVR34" s="707"/>
      <c r="AVS34" s="707"/>
      <c r="AVT34" s="707"/>
      <c r="AVU34" s="707"/>
      <c r="AVV34" s="707"/>
      <c r="AVW34" s="707"/>
      <c r="AVX34" s="707"/>
      <c r="AVY34" s="707"/>
      <c r="AVZ34" s="707"/>
      <c r="AWA34" s="707"/>
      <c r="AWB34" s="707"/>
      <c r="AWC34" s="707"/>
      <c r="AWD34" s="707"/>
      <c r="AWE34" s="707"/>
      <c r="AWF34" s="707"/>
      <c r="AWG34" s="707"/>
      <c r="AWH34" s="707"/>
      <c r="AWI34" s="707"/>
      <c r="AWJ34" s="707"/>
      <c r="AWK34" s="707"/>
      <c r="AWL34" s="707"/>
      <c r="AWM34" s="707"/>
      <c r="AWN34" s="707"/>
      <c r="AWO34" s="707"/>
      <c r="AWP34" s="707"/>
      <c r="AWQ34" s="707"/>
      <c r="AWR34" s="707"/>
      <c r="AWS34" s="707"/>
      <c r="AWT34" s="707"/>
      <c r="AWU34" s="707"/>
      <c r="AWV34" s="707"/>
      <c r="AWW34" s="707"/>
      <c r="AWX34" s="707"/>
      <c r="AWY34" s="707"/>
      <c r="AWZ34" s="707"/>
      <c r="AXA34" s="707"/>
      <c r="AXB34" s="707"/>
      <c r="AXC34" s="707"/>
      <c r="AXD34" s="707"/>
      <c r="AXE34" s="707"/>
      <c r="AXF34" s="707"/>
      <c r="AXG34" s="707"/>
      <c r="AXH34" s="707"/>
      <c r="AXI34" s="707"/>
      <c r="AXJ34" s="707"/>
      <c r="AXK34" s="707"/>
      <c r="AXL34" s="707"/>
      <c r="AXM34" s="707"/>
      <c r="AXN34" s="707"/>
      <c r="AXO34" s="707"/>
      <c r="AXP34" s="707"/>
      <c r="AXQ34" s="707"/>
      <c r="AXR34" s="707"/>
      <c r="AXS34" s="707"/>
      <c r="AXT34" s="707"/>
      <c r="AXU34" s="707"/>
      <c r="AXV34" s="707"/>
      <c r="AXW34" s="707"/>
      <c r="AXX34" s="707"/>
      <c r="AXY34" s="707"/>
      <c r="AXZ34" s="707"/>
      <c r="AYA34" s="707"/>
      <c r="AYB34" s="707"/>
      <c r="AYC34" s="707"/>
      <c r="AYD34" s="707"/>
      <c r="AYE34" s="707"/>
      <c r="AYF34" s="707"/>
      <c r="AYG34" s="707"/>
      <c r="AYH34" s="707"/>
      <c r="AYI34" s="707"/>
      <c r="AYJ34" s="707"/>
      <c r="AYK34" s="707"/>
      <c r="AYL34" s="707"/>
      <c r="AYM34" s="707"/>
      <c r="AYN34" s="707"/>
      <c r="AYO34" s="707"/>
      <c r="AYP34" s="707"/>
      <c r="AYQ34" s="707"/>
      <c r="AYR34" s="707"/>
      <c r="AYS34" s="707"/>
      <c r="AYT34" s="707"/>
      <c r="AYU34" s="707"/>
      <c r="AYV34" s="707"/>
      <c r="AYW34" s="707"/>
      <c r="AYX34" s="707"/>
      <c r="AYY34" s="707"/>
      <c r="AYZ34" s="707"/>
      <c r="AZA34" s="707"/>
      <c r="AZB34" s="707"/>
      <c r="AZC34" s="707"/>
      <c r="AZD34" s="707"/>
      <c r="AZE34" s="707"/>
      <c r="AZF34" s="707"/>
      <c r="AZG34" s="707"/>
      <c r="AZH34" s="707"/>
      <c r="AZI34" s="707"/>
      <c r="AZJ34" s="707"/>
      <c r="AZK34" s="707"/>
      <c r="AZL34" s="707"/>
      <c r="AZM34" s="707"/>
      <c r="AZN34" s="707"/>
      <c r="AZO34" s="707"/>
      <c r="AZP34" s="707"/>
      <c r="AZQ34" s="707"/>
      <c r="AZR34" s="707"/>
      <c r="AZS34" s="707"/>
      <c r="AZT34" s="707"/>
      <c r="AZU34" s="707"/>
      <c r="AZV34" s="707"/>
      <c r="AZW34" s="707"/>
      <c r="AZX34" s="707"/>
      <c r="AZY34" s="707"/>
      <c r="AZZ34" s="707"/>
      <c r="BAA34" s="707"/>
      <c r="BAB34" s="707"/>
      <c r="BAC34" s="707"/>
      <c r="BAD34" s="707"/>
      <c r="BAE34" s="707"/>
      <c r="BAF34" s="707"/>
      <c r="BAG34" s="707"/>
      <c r="BAH34" s="707"/>
      <c r="BAI34" s="707"/>
      <c r="BAJ34" s="707"/>
      <c r="BAK34" s="707"/>
      <c r="BAL34" s="707"/>
      <c r="BAM34" s="707"/>
      <c r="BAN34" s="707"/>
      <c r="BAO34" s="707"/>
      <c r="BAP34" s="707"/>
      <c r="BAQ34" s="707"/>
      <c r="BAR34" s="707"/>
      <c r="BAS34" s="707"/>
      <c r="BAT34" s="707"/>
      <c r="BAU34" s="707"/>
      <c r="BAV34" s="707"/>
      <c r="BAW34" s="707"/>
      <c r="BAX34" s="707"/>
      <c r="BAY34" s="707"/>
      <c r="BAZ34" s="707"/>
      <c r="BBA34" s="707"/>
      <c r="BBB34" s="707"/>
      <c r="BBC34" s="707"/>
      <c r="BBD34" s="707"/>
      <c r="BBE34" s="707"/>
      <c r="BBF34" s="707"/>
      <c r="BBG34" s="707"/>
      <c r="BBH34" s="707"/>
      <c r="BBI34" s="707"/>
      <c r="BBJ34" s="707"/>
      <c r="BBK34" s="707"/>
      <c r="BBL34" s="707"/>
      <c r="BBM34" s="707"/>
      <c r="BBN34" s="707"/>
      <c r="BBO34" s="707"/>
      <c r="BBP34" s="707"/>
      <c r="BBQ34" s="707"/>
      <c r="BBR34" s="707"/>
      <c r="BBS34" s="707"/>
      <c r="BBT34" s="707"/>
      <c r="BBU34" s="707"/>
      <c r="BBV34" s="707"/>
      <c r="BBW34" s="707"/>
      <c r="BBX34" s="707"/>
      <c r="BBY34" s="707"/>
      <c r="BBZ34" s="707"/>
      <c r="BCA34" s="707"/>
      <c r="BCB34" s="707"/>
      <c r="BCC34" s="707"/>
      <c r="BCD34" s="707"/>
      <c r="BCE34" s="707"/>
      <c r="BCF34" s="707"/>
      <c r="BCG34" s="707"/>
      <c r="BCH34" s="707"/>
      <c r="BCI34" s="707"/>
      <c r="BCJ34" s="707"/>
      <c r="BCK34" s="707"/>
      <c r="BCL34" s="707"/>
      <c r="BCM34" s="707"/>
      <c r="BCN34" s="707"/>
      <c r="BCO34" s="707"/>
      <c r="BCP34" s="707"/>
      <c r="BCQ34" s="707"/>
      <c r="BCR34" s="707"/>
      <c r="BCS34" s="707"/>
      <c r="BCT34" s="707"/>
      <c r="BCU34" s="707"/>
      <c r="BCV34" s="707"/>
      <c r="BCW34" s="707"/>
      <c r="BCX34" s="707"/>
      <c r="BCY34" s="707"/>
      <c r="BCZ34" s="707"/>
      <c r="BDA34" s="707"/>
      <c r="BDB34" s="707"/>
      <c r="BDC34" s="707"/>
      <c r="BDD34" s="707"/>
      <c r="BDE34" s="707"/>
      <c r="BDF34" s="707"/>
      <c r="BDG34" s="707"/>
      <c r="BDH34" s="707"/>
      <c r="BDI34" s="707"/>
      <c r="BDJ34" s="707"/>
      <c r="BDK34" s="707"/>
      <c r="BDL34" s="707"/>
      <c r="BDM34" s="707"/>
      <c r="BDN34" s="707"/>
      <c r="BDO34" s="707"/>
      <c r="BDP34" s="707"/>
      <c r="BDQ34" s="707"/>
      <c r="BDR34" s="707"/>
      <c r="BDS34" s="707"/>
      <c r="BDT34" s="707"/>
      <c r="BDU34" s="707"/>
      <c r="BDV34" s="707"/>
      <c r="BDW34" s="707"/>
      <c r="BDX34" s="707"/>
      <c r="BDY34" s="707"/>
      <c r="BDZ34" s="707"/>
      <c r="BEA34" s="707"/>
      <c r="BEB34" s="707"/>
      <c r="BEC34" s="707"/>
      <c r="BED34" s="707"/>
      <c r="BEE34" s="707"/>
      <c r="BEF34" s="707"/>
      <c r="BEG34" s="707"/>
      <c r="BEH34" s="707"/>
      <c r="BEI34" s="707"/>
      <c r="BEJ34" s="707"/>
      <c r="BEK34" s="707"/>
      <c r="BEL34" s="707"/>
      <c r="BEM34" s="707"/>
      <c r="BEN34" s="707"/>
      <c r="BEO34" s="707"/>
      <c r="BEP34" s="707"/>
      <c r="BEQ34" s="707"/>
      <c r="BER34" s="707"/>
      <c r="BES34" s="707"/>
      <c r="BET34" s="707"/>
      <c r="BEU34" s="707"/>
      <c r="BEV34" s="707"/>
      <c r="BEW34" s="707"/>
      <c r="BEX34" s="707"/>
      <c r="BEY34" s="707"/>
      <c r="BEZ34" s="707"/>
      <c r="BFA34" s="707"/>
      <c r="BFB34" s="707"/>
      <c r="BFC34" s="707"/>
      <c r="BFD34" s="707"/>
      <c r="BFE34" s="707"/>
      <c r="BFF34" s="707"/>
      <c r="BFG34" s="707"/>
      <c r="BFH34" s="707"/>
      <c r="BFI34" s="707"/>
      <c r="BFJ34" s="707"/>
      <c r="BFK34" s="707"/>
      <c r="BFL34" s="707"/>
      <c r="BFM34" s="707"/>
      <c r="BFN34" s="707"/>
      <c r="BFO34" s="707"/>
      <c r="BFP34" s="707"/>
      <c r="BFQ34" s="707"/>
      <c r="BFR34" s="707"/>
      <c r="BFS34" s="707"/>
      <c r="BFT34" s="707"/>
      <c r="BFU34" s="707"/>
      <c r="BFV34" s="707"/>
      <c r="BFW34" s="707"/>
      <c r="BFX34" s="707"/>
      <c r="BFY34" s="707"/>
      <c r="BFZ34" s="707"/>
      <c r="BGA34" s="707"/>
      <c r="BGB34" s="707"/>
      <c r="BGC34" s="707"/>
      <c r="BGD34" s="707"/>
      <c r="BGE34" s="707"/>
      <c r="BGF34" s="707"/>
      <c r="BGG34" s="707"/>
      <c r="BGH34" s="707"/>
      <c r="BGI34" s="707"/>
      <c r="BGJ34" s="707"/>
      <c r="BGK34" s="707"/>
      <c r="BGL34" s="707"/>
      <c r="BGM34" s="707"/>
      <c r="BGN34" s="707"/>
      <c r="BGO34" s="707"/>
      <c r="BGP34" s="707"/>
      <c r="BGQ34" s="707"/>
      <c r="BGR34" s="707"/>
      <c r="BGS34" s="707"/>
      <c r="BGT34" s="707"/>
      <c r="BGU34" s="707"/>
      <c r="BGV34" s="707"/>
      <c r="BGW34" s="707"/>
      <c r="BGX34" s="707"/>
      <c r="BGY34" s="707"/>
      <c r="BGZ34" s="707"/>
      <c r="BHA34" s="707"/>
      <c r="BHB34" s="707"/>
      <c r="BHC34" s="707"/>
      <c r="BHD34" s="707"/>
      <c r="BHE34" s="707"/>
      <c r="BHF34" s="707"/>
      <c r="BHG34" s="707"/>
      <c r="BHH34" s="707"/>
      <c r="BHI34" s="707"/>
      <c r="BHJ34" s="707"/>
      <c r="BHK34" s="707"/>
      <c r="BHL34" s="707"/>
      <c r="BHM34" s="707"/>
      <c r="BHN34" s="707"/>
      <c r="BHO34" s="707"/>
      <c r="BHP34" s="707"/>
      <c r="BHQ34" s="707"/>
      <c r="BHR34" s="707"/>
      <c r="BHS34" s="707"/>
      <c r="BHT34" s="707"/>
      <c r="BHU34" s="707"/>
      <c r="BHV34" s="707"/>
      <c r="BHW34" s="707"/>
      <c r="BHX34" s="707"/>
      <c r="BHY34" s="707"/>
      <c r="BHZ34" s="707"/>
      <c r="BIA34" s="707"/>
      <c r="BIB34" s="707"/>
      <c r="BIC34" s="707"/>
      <c r="BID34" s="707"/>
      <c r="BIE34" s="707"/>
      <c r="BIF34" s="707"/>
      <c r="BIG34" s="707"/>
      <c r="BIH34" s="707"/>
      <c r="BII34" s="707"/>
      <c r="BIJ34" s="707"/>
      <c r="BIK34" s="707"/>
      <c r="BIL34" s="707"/>
      <c r="BIM34" s="707"/>
      <c r="BIN34" s="707"/>
      <c r="BIO34" s="707"/>
      <c r="BIP34" s="707"/>
      <c r="BIQ34" s="707"/>
      <c r="BIR34" s="707"/>
      <c r="BIS34" s="707"/>
      <c r="BIT34" s="707"/>
      <c r="BIU34" s="707"/>
      <c r="BIV34" s="707"/>
      <c r="BIW34" s="707"/>
      <c r="BIX34" s="707"/>
      <c r="BIY34" s="707"/>
      <c r="BIZ34" s="707"/>
      <c r="BJA34" s="707"/>
      <c r="BJB34" s="707"/>
      <c r="BJC34" s="707"/>
      <c r="BJD34" s="707"/>
      <c r="BJE34" s="707"/>
      <c r="BJF34" s="707"/>
      <c r="BJG34" s="707"/>
      <c r="BJH34" s="707"/>
      <c r="BJI34" s="707"/>
      <c r="BJJ34" s="707"/>
      <c r="BJK34" s="707"/>
      <c r="BJL34" s="707"/>
      <c r="BJM34" s="707"/>
      <c r="BJN34" s="707"/>
      <c r="BJO34" s="707"/>
      <c r="BJP34" s="707"/>
      <c r="BJQ34" s="707"/>
      <c r="BJR34" s="707"/>
      <c r="BJS34" s="707"/>
      <c r="BJT34" s="707"/>
      <c r="BJU34" s="707"/>
      <c r="BJV34" s="707"/>
      <c r="BJW34" s="707"/>
      <c r="BJX34" s="707"/>
      <c r="BJY34" s="707"/>
      <c r="BJZ34" s="707"/>
      <c r="BKA34" s="707"/>
      <c r="BKB34" s="707"/>
      <c r="BKC34" s="707"/>
      <c r="BKD34" s="707"/>
      <c r="BKE34" s="707"/>
      <c r="BKF34" s="707"/>
      <c r="BKG34" s="707"/>
      <c r="BKH34" s="707"/>
      <c r="BKI34" s="707"/>
      <c r="BKJ34" s="707"/>
      <c r="BKK34" s="707"/>
      <c r="BKL34" s="707"/>
      <c r="BKM34" s="707"/>
      <c r="BKN34" s="707"/>
      <c r="BKO34" s="707"/>
      <c r="BKP34" s="707"/>
      <c r="BKQ34" s="707"/>
      <c r="BKR34" s="707"/>
      <c r="BKS34" s="707"/>
      <c r="BKT34" s="707"/>
      <c r="BKU34" s="707"/>
      <c r="BKV34" s="707"/>
      <c r="BKW34" s="707"/>
      <c r="BKX34" s="707"/>
      <c r="BKY34" s="707"/>
      <c r="BKZ34" s="707"/>
      <c r="BLA34" s="707"/>
      <c r="BLB34" s="707"/>
      <c r="BLC34" s="707"/>
      <c r="BLD34" s="707"/>
      <c r="BLE34" s="707"/>
      <c r="BLF34" s="707"/>
      <c r="BLG34" s="707"/>
      <c r="BLH34" s="707"/>
      <c r="BLI34" s="707"/>
      <c r="BLJ34" s="707"/>
      <c r="BLK34" s="707"/>
      <c r="BLL34" s="707"/>
      <c r="BLM34" s="707"/>
      <c r="BLN34" s="707"/>
      <c r="BLO34" s="707"/>
      <c r="BLP34" s="707"/>
      <c r="BLQ34" s="707"/>
      <c r="BLR34" s="707"/>
      <c r="BLS34" s="707"/>
      <c r="BLT34" s="707"/>
      <c r="BLU34" s="707"/>
      <c r="BLV34" s="707"/>
      <c r="BLW34" s="707"/>
      <c r="BLX34" s="707"/>
      <c r="BLY34" s="707"/>
      <c r="BLZ34" s="707"/>
      <c r="BMA34" s="707"/>
      <c r="BMB34" s="707"/>
      <c r="BMC34" s="707"/>
      <c r="BMD34" s="707"/>
      <c r="BME34" s="707"/>
      <c r="BMF34" s="707"/>
      <c r="BMG34" s="707"/>
      <c r="BMH34" s="707"/>
      <c r="BMI34" s="707"/>
      <c r="BMJ34" s="707"/>
      <c r="BMK34" s="707"/>
      <c r="BML34" s="707"/>
      <c r="BMM34" s="707"/>
      <c r="BMN34" s="707"/>
      <c r="BMO34" s="707"/>
      <c r="BMP34" s="707"/>
      <c r="BMQ34" s="707"/>
      <c r="BMR34" s="707"/>
      <c r="BMS34" s="707"/>
      <c r="BMT34" s="707"/>
      <c r="BMU34" s="707"/>
      <c r="BMV34" s="707"/>
      <c r="BMW34" s="707"/>
      <c r="BMX34" s="707"/>
      <c r="BMY34" s="707"/>
      <c r="BMZ34" s="707"/>
      <c r="BNA34" s="707"/>
      <c r="BNB34" s="707"/>
      <c r="BNC34" s="707"/>
      <c r="BND34" s="707"/>
      <c r="BNE34" s="707"/>
      <c r="BNF34" s="707"/>
      <c r="BNG34" s="707"/>
      <c r="BNH34" s="707"/>
      <c r="BNI34" s="707"/>
      <c r="BNJ34" s="707"/>
      <c r="BNK34" s="707"/>
      <c r="BNL34" s="707"/>
      <c r="BNM34" s="707"/>
      <c r="BNN34" s="707"/>
      <c r="BNO34" s="707"/>
      <c r="BNP34" s="707"/>
      <c r="BNQ34" s="707"/>
      <c r="BNR34" s="707"/>
      <c r="BNS34" s="707"/>
      <c r="BNT34" s="707"/>
      <c r="BNU34" s="707"/>
      <c r="BNV34" s="707"/>
      <c r="BNW34" s="707"/>
      <c r="BNX34" s="707"/>
      <c r="BNY34" s="707"/>
      <c r="BNZ34" s="707"/>
      <c r="BOA34" s="707"/>
      <c r="BOB34" s="707"/>
      <c r="BOC34" s="707"/>
      <c r="BOD34" s="707"/>
      <c r="BOE34" s="707"/>
      <c r="BOF34" s="707"/>
      <c r="BOG34" s="707"/>
      <c r="BOH34" s="707"/>
      <c r="BOI34" s="707"/>
      <c r="BOJ34" s="707"/>
      <c r="BOK34" s="707"/>
      <c r="BOL34" s="707"/>
      <c r="BOM34" s="707"/>
      <c r="BON34" s="707"/>
      <c r="BOO34" s="707"/>
      <c r="BOP34" s="707"/>
      <c r="BOQ34" s="707"/>
      <c r="BOR34" s="707"/>
      <c r="BOS34" s="707"/>
      <c r="BOT34" s="707"/>
      <c r="BOU34" s="707"/>
      <c r="BOV34" s="707"/>
      <c r="BOW34" s="707"/>
      <c r="BOX34" s="707"/>
      <c r="BOY34" s="707"/>
      <c r="BOZ34" s="707"/>
      <c r="BPA34" s="707"/>
      <c r="BPB34" s="707"/>
      <c r="BPC34" s="707"/>
      <c r="BPD34" s="707"/>
      <c r="BPE34" s="707"/>
      <c r="BPF34" s="707"/>
      <c r="BPG34" s="707"/>
      <c r="BPH34" s="707"/>
      <c r="BPI34" s="707"/>
      <c r="BPJ34" s="707"/>
      <c r="BPK34" s="707"/>
      <c r="BPL34" s="707"/>
      <c r="BPM34" s="707"/>
      <c r="BPN34" s="707"/>
      <c r="BPO34" s="707"/>
      <c r="BPP34" s="707"/>
      <c r="BPQ34" s="707"/>
      <c r="BPR34" s="707"/>
      <c r="BPS34" s="707"/>
      <c r="BPT34" s="707"/>
      <c r="BPU34" s="707"/>
      <c r="BPV34" s="707"/>
      <c r="BPW34" s="707"/>
      <c r="BPX34" s="707"/>
      <c r="BPY34" s="707"/>
      <c r="BPZ34" s="707"/>
      <c r="BQA34" s="707"/>
      <c r="BQB34" s="707"/>
      <c r="BQC34" s="707"/>
      <c r="BQD34" s="707"/>
      <c r="BQE34" s="707"/>
      <c r="BQF34" s="707"/>
      <c r="BQG34" s="707"/>
      <c r="BQH34" s="707"/>
      <c r="BQI34" s="707"/>
      <c r="BQJ34" s="707"/>
      <c r="BQK34" s="707"/>
      <c r="BQL34" s="707"/>
      <c r="BQM34" s="707"/>
      <c r="BQN34" s="707"/>
      <c r="BQO34" s="707"/>
      <c r="BQP34" s="707"/>
      <c r="BQQ34" s="707"/>
      <c r="BQR34" s="707"/>
      <c r="BQS34" s="707"/>
      <c r="BQT34" s="707"/>
      <c r="BQU34" s="707"/>
      <c r="BQV34" s="707"/>
      <c r="BQW34" s="707"/>
      <c r="BQX34" s="707"/>
      <c r="BQY34" s="707"/>
      <c r="BQZ34" s="707"/>
      <c r="BRA34" s="707"/>
      <c r="BRB34" s="707"/>
      <c r="BRC34" s="707"/>
      <c r="BRD34" s="707"/>
      <c r="BRE34" s="707"/>
      <c r="BRF34" s="707"/>
      <c r="BRG34" s="707"/>
      <c r="BRH34" s="707"/>
      <c r="BRI34" s="707"/>
      <c r="BRJ34" s="707"/>
      <c r="BRK34" s="707"/>
      <c r="BRL34" s="707"/>
      <c r="BRM34" s="707"/>
      <c r="BRN34" s="707"/>
      <c r="BRO34" s="707"/>
      <c r="BRP34" s="707"/>
      <c r="BRQ34" s="707"/>
      <c r="BRR34" s="707"/>
      <c r="BRS34" s="707"/>
      <c r="BRT34" s="707"/>
      <c r="BRU34" s="707"/>
      <c r="BRV34" s="707"/>
      <c r="BRW34" s="707"/>
      <c r="BRX34" s="707"/>
      <c r="BRY34" s="707"/>
      <c r="BRZ34" s="707"/>
      <c r="BSA34" s="707"/>
      <c r="BSB34" s="707"/>
      <c r="BSC34" s="707"/>
      <c r="BSD34" s="707"/>
      <c r="BSE34" s="707"/>
      <c r="BSF34" s="707"/>
      <c r="BSG34" s="707"/>
      <c r="BSH34" s="707"/>
      <c r="BSI34" s="707"/>
      <c r="BSJ34" s="707"/>
      <c r="BSK34" s="707"/>
      <c r="BSL34" s="707"/>
      <c r="BSM34" s="707"/>
      <c r="BSN34" s="707"/>
      <c r="BSO34" s="707"/>
      <c r="BSP34" s="707"/>
      <c r="BSQ34" s="707"/>
      <c r="BSR34" s="707"/>
      <c r="BSS34" s="707"/>
      <c r="BST34" s="707"/>
      <c r="BSU34" s="707"/>
      <c r="BSV34" s="707"/>
      <c r="BSW34" s="707"/>
      <c r="BSX34" s="707"/>
      <c r="BSY34" s="707"/>
      <c r="BSZ34" s="707"/>
      <c r="BTA34" s="707"/>
      <c r="BTB34" s="707"/>
      <c r="BTC34" s="707"/>
      <c r="BTD34" s="707"/>
      <c r="BTE34" s="707"/>
      <c r="BTF34" s="707"/>
      <c r="BTG34" s="707"/>
      <c r="BTH34" s="707"/>
      <c r="BTI34" s="707"/>
      <c r="BTJ34" s="707"/>
      <c r="BTK34" s="707"/>
      <c r="BTL34" s="707"/>
      <c r="BTM34" s="707"/>
      <c r="BTN34" s="707"/>
      <c r="BTO34" s="707"/>
      <c r="BTP34" s="707"/>
      <c r="BTQ34" s="707"/>
      <c r="BTR34" s="707"/>
      <c r="BTS34" s="707"/>
      <c r="BTT34" s="707"/>
      <c r="BTU34" s="707"/>
      <c r="BTV34" s="707"/>
      <c r="BTW34" s="707"/>
      <c r="BTX34" s="707"/>
      <c r="BTY34" s="707"/>
      <c r="BTZ34" s="707"/>
      <c r="BUA34" s="707"/>
      <c r="BUB34" s="707"/>
      <c r="BUC34" s="707"/>
      <c r="BUD34" s="707"/>
      <c r="BUE34" s="707"/>
      <c r="BUF34" s="707"/>
      <c r="BUG34" s="707"/>
      <c r="BUH34" s="707"/>
      <c r="BUI34" s="707"/>
      <c r="BUJ34" s="707"/>
      <c r="BUK34" s="707"/>
      <c r="BUL34" s="707"/>
      <c r="BUM34" s="707"/>
      <c r="BUN34" s="707"/>
      <c r="BUO34" s="707"/>
      <c r="BUP34" s="707"/>
      <c r="BUQ34" s="707"/>
      <c r="BUR34" s="707"/>
      <c r="BUS34" s="707"/>
      <c r="BUT34" s="707"/>
      <c r="BUU34" s="707"/>
      <c r="BUV34" s="707"/>
      <c r="BUW34" s="707"/>
      <c r="BUX34" s="707"/>
      <c r="BUY34" s="707"/>
      <c r="BUZ34" s="707"/>
      <c r="BVA34" s="707"/>
      <c r="BVB34" s="707"/>
      <c r="BVC34" s="707"/>
      <c r="BVD34" s="707"/>
      <c r="BVE34" s="707"/>
      <c r="BVF34" s="707"/>
      <c r="BVG34" s="707"/>
      <c r="BVH34" s="707"/>
      <c r="BVI34" s="707"/>
      <c r="BVJ34" s="707"/>
      <c r="BVK34" s="707"/>
      <c r="BVL34" s="707"/>
      <c r="BVM34" s="707"/>
      <c r="BVN34" s="707"/>
      <c r="BVO34" s="707"/>
      <c r="BVP34" s="707"/>
      <c r="BVQ34" s="707"/>
      <c r="BVR34" s="707"/>
      <c r="BVS34" s="707"/>
      <c r="BVT34" s="707"/>
      <c r="BVU34" s="707"/>
      <c r="BVV34" s="707"/>
      <c r="BVW34" s="707"/>
      <c r="BVX34" s="707"/>
      <c r="BVY34" s="707"/>
      <c r="BVZ34" s="707"/>
      <c r="BWA34" s="707"/>
      <c r="BWB34" s="707"/>
      <c r="BWC34" s="707"/>
      <c r="BWD34" s="707"/>
      <c r="BWE34" s="707"/>
      <c r="BWF34" s="707"/>
      <c r="BWG34" s="707"/>
      <c r="BWH34" s="707"/>
      <c r="BWI34" s="707"/>
      <c r="BWJ34" s="707"/>
      <c r="BWK34" s="707"/>
      <c r="BWL34" s="707"/>
      <c r="BWM34" s="707"/>
      <c r="BWN34" s="707"/>
      <c r="BWO34" s="707"/>
      <c r="BWP34" s="707"/>
      <c r="BWQ34" s="707"/>
      <c r="BWR34" s="707"/>
      <c r="BWS34" s="707"/>
      <c r="BWT34" s="707"/>
      <c r="BWU34" s="707"/>
      <c r="BWV34" s="707"/>
      <c r="BWW34" s="707"/>
      <c r="BWX34" s="707"/>
      <c r="BWY34" s="707"/>
      <c r="BWZ34" s="707"/>
      <c r="BXA34" s="707"/>
      <c r="BXB34" s="707"/>
      <c r="BXC34" s="707"/>
      <c r="BXD34" s="707"/>
      <c r="BXE34" s="707"/>
      <c r="BXF34" s="707"/>
      <c r="BXG34" s="707"/>
      <c r="BXH34" s="707"/>
      <c r="BXI34" s="707"/>
      <c r="BXJ34" s="707"/>
      <c r="BXK34" s="707"/>
      <c r="BXL34" s="707"/>
      <c r="BXM34" s="707"/>
      <c r="BXN34" s="707"/>
      <c r="BXO34" s="707"/>
      <c r="BXP34" s="707"/>
      <c r="BXQ34" s="707"/>
      <c r="BXR34" s="707"/>
      <c r="BXS34" s="707"/>
      <c r="BXT34" s="707"/>
      <c r="BXU34" s="707"/>
      <c r="BXV34" s="707"/>
      <c r="BXW34" s="707"/>
      <c r="BXX34" s="707"/>
      <c r="BXY34" s="707"/>
      <c r="BXZ34" s="707"/>
      <c r="BYA34" s="707"/>
      <c r="BYB34" s="707"/>
      <c r="BYC34" s="707"/>
      <c r="BYD34" s="707"/>
      <c r="BYE34" s="707"/>
      <c r="BYF34" s="707"/>
      <c r="BYG34" s="707"/>
      <c r="BYH34" s="707"/>
      <c r="BYI34" s="707"/>
      <c r="BYJ34" s="707"/>
      <c r="BYK34" s="707"/>
      <c r="BYL34" s="707"/>
      <c r="BYM34" s="707"/>
      <c r="BYN34" s="707"/>
      <c r="BYO34" s="707"/>
      <c r="BYP34" s="707"/>
      <c r="BYQ34" s="707"/>
      <c r="BYR34" s="707"/>
      <c r="BYS34" s="707"/>
      <c r="BYT34" s="707"/>
      <c r="BYU34" s="707"/>
      <c r="BYV34" s="707"/>
      <c r="BYW34" s="707"/>
      <c r="BYX34" s="707"/>
      <c r="BYY34" s="707"/>
      <c r="BYZ34" s="707"/>
      <c r="BZA34" s="707"/>
      <c r="BZB34" s="707"/>
      <c r="BZC34" s="707"/>
      <c r="BZD34" s="707"/>
      <c r="BZE34" s="707"/>
      <c r="BZF34" s="707"/>
      <c r="BZG34" s="707"/>
      <c r="BZH34" s="707"/>
      <c r="BZI34" s="707"/>
      <c r="BZJ34" s="707"/>
      <c r="BZK34" s="707"/>
      <c r="BZL34" s="707"/>
      <c r="BZM34" s="707"/>
      <c r="BZN34" s="707"/>
      <c r="BZO34" s="707"/>
      <c r="BZP34" s="707"/>
      <c r="BZQ34" s="707"/>
      <c r="BZR34" s="707"/>
      <c r="BZS34" s="707"/>
      <c r="BZT34" s="707"/>
      <c r="BZU34" s="707"/>
      <c r="BZV34" s="707"/>
      <c r="BZW34" s="707"/>
      <c r="BZX34" s="707"/>
      <c r="BZY34" s="707"/>
      <c r="BZZ34" s="707"/>
      <c r="CAA34" s="707"/>
      <c r="CAB34" s="707"/>
      <c r="CAC34" s="707"/>
      <c r="CAD34" s="707"/>
      <c r="CAE34" s="707"/>
      <c r="CAF34" s="707"/>
      <c r="CAG34" s="707"/>
      <c r="CAH34" s="707"/>
      <c r="CAI34" s="707"/>
      <c r="CAJ34" s="707"/>
      <c r="CAK34" s="707"/>
      <c r="CAL34" s="707"/>
      <c r="CAM34" s="707"/>
      <c r="CAN34" s="707"/>
      <c r="CAO34" s="707"/>
      <c r="CAP34" s="707"/>
      <c r="CAQ34" s="707"/>
      <c r="CAR34" s="707"/>
      <c r="CAS34" s="707"/>
      <c r="CAT34" s="707"/>
      <c r="CAU34" s="707"/>
      <c r="CAV34" s="707"/>
      <c r="CAW34" s="707"/>
      <c r="CAX34" s="707"/>
      <c r="CAY34" s="707"/>
      <c r="CAZ34" s="707"/>
      <c r="CBA34" s="707"/>
      <c r="CBB34" s="707"/>
      <c r="CBC34" s="707"/>
      <c r="CBD34" s="707"/>
      <c r="CBE34" s="707"/>
      <c r="CBF34" s="707"/>
      <c r="CBG34" s="707"/>
      <c r="CBH34" s="707"/>
      <c r="CBI34" s="707"/>
      <c r="CBJ34" s="707"/>
      <c r="CBK34" s="707"/>
      <c r="CBL34" s="707"/>
      <c r="CBM34" s="707"/>
      <c r="CBN34" s="707"/>
      <c r="CBO34" s="707"/>
      <c r="CBP34" s="707"/>
      <c r="CBQ34" s="707"/>
      <c r="CBR34" s="707"/>
      <c r="CBS34" s="707"/>
      <c r="CBT34" s="707"/>
      <c r="CBU34" s="707"/>
      <c r="CBV34" s="707"/>
      <c r="CBW34" s="707"/>
      <c r="CBX34" s="707"/>
      <c r="CBY34" s="707"/>
      <c r="CBZ34" s="707"/>
      <c r="CCA34" s="707"/>
      <c r="CCB34" s="707"/>
      <c r="CCC34" s="707"/>
      <c r="CCD34" s="707"/>
      <c r="CCE34" s="707"/>
      <c r="CCF34" s="707"/>
      <c r="CCG34" s="707"/>
      <c r="CCH34" s="707"/>
      <c r="CCI34" s="707"/>
      <c r="CCJ34" s="707"/>
      <c r="CCK34" s="707"/>
      <c r="CCL34" s="707"/>
      <c r="CCM34" s="707"/>
      <c r="CCN34" s="707"/>
      <c r="CCO34" s="707"/>
      <c r="CCP34" s="707"/>
      <c r="CCQ34" s="707"/>
      <c r="CCR34" s="707"/>
      <c r="CCS34" s="707"/>
      <c r="CCT34" s="707"/>
      <c r="CCU34" s="707"/>
      <c r="CCV34" s="707"/>
      <c r="CCW34" s="707"/>
      <c r="CCX34" s="707"/>
      <c r="CCY34" s="707"/>
      <c r="CCZ34" s="707"/>
      <c r="CDA34" s="707"/>
      <c r="CDB34" s="707"/>
      <c r="CDC34" s="707"/>
      <c r="CDD34" s="707"/>
      <c r="CDE34" s="707"/>
      <c r="CDF34" s="707"/>
      <c r="CDG34" s="707"/>
      <c r="CDH34" s="707"/>
      <c r="CDI34" s="707"/>
      <c r="CDJ34" s="707"/>
      <c r="CDK34" s="707"/>
      <c r="CDL34" s="707"/>
      <c r="CDM34" s="707"/>
      <c r="CDN34" s="707"/>
      <c r="CDO34" s="707"/>
      <c r="CDP34" s="707"/>
      <c r="CDQ34" s="707"/>
      <c r="CDR34" s="707"/>
      <c r="CDS34" s="707"/>
      <c r="CDT34" s="707"/>
      <c r="CDU34" s="707"/>
      <c r="CDV34" s="707"/>
      <c r="CDW34" s="707"/>
      <c r="CDX34" s="707"/>
      <c r="CDY34" s="707"/>
      <c r="CDZ34" s="707"/>
      <c r="CEA34" s="707"/>
      <c r="CEB34" s="707"/>
      <c r="CEC34" s="707"/>
      <c r="CED34" s="707"/>
      <c r="CEE34" s="707"/>
      <c r="CEF34" s="707"/>
      <c r="CEG34" s="707"/>
      <c r="CEH34" s="707"/>
      <c r="CEI34" s="707"/>
      <c r="CEJ34" s="707"/>
      <c r="CEK34" s="707"/>
      <c r="CEL34" s="707"/>
      <c r="CEM34" s="707"/>
      <c r="CEN34" s="707"/>
      <c r="CEO34" s="707"/>
      <c r="CEP34" s="707"/>
      <c r="CEQ34" s="707"/>
      <c r="CER34" s="707"/>
      <c r="CES34" s="707"/>
      <c r="CET34" s="707"/>
      <c r="CEU34" s="707"/>
      <c r="CEV34" s="707"/>
      <c r="CEW34" s="707"/>
      <c r="CEX34" s="707"/>
      <c r="CEY34" s="707"/>
      <c r="CEZ34" s="707"/>
      <c r="CFA34" s="707"/>
      <c r="CFB34" s="707"/>
      <c r="CFC34" s="707"/>
      <c r="CFD34" s="707"/>
      <c r="CFE34" s="707"/>
      <c r="CFF34" s="707"/>
      <c r="CFG34" s="707"/>
      <c r="CFH34" s="707"/>
      <c r="CFI34" s="707"/>
      <c r="CFJ34" s="707"/>
      <c r="CFK34" s="707"/>
      <c r="CFL34" s="707"/>
      <c r="CFM34" s="707"/>
      <c r="CFN34" s="707"/>
      <c r="CFO34" s="707"/>
      <c r="CFP34" s="707"/>
      <c r="CFQ34" s="707"/>
      <c r="CFR34" s="707"/>
      <c r="CFS34" s="707"/>
      <c r="CFT34" s="707"/>
      <c r="CFU34" s="707"/>
      <c r="CFV34" s="707"/>
      <c r="CFW34" s="707"/>
      <c r="CFX34" s="707"/>
      <c r="CFY34" s="707"/>
      <c r="CFZ34" s="707"/>
      <c r="CGA34" s="707"/>
      <c r="CGB34" s="707"/>
      <c r="CGC34" s="707"/>
      <c r="CGD34" s="707"/>
      <c r="CGE34" s="707"/>
      <c r="CGF34" s="707"/>
      <c r="CGG34" s="707"/>
      <c r="CGH34" s="707"/>
      <c r="CGI34" s="707"/>
      <c r="CGJ34" s="707"/>
      <c r="CGK34" s="707"/>
      <c r="CGL34" s="707"/>
      <c r="CGM34" s="707"/>
      <c r="CGN34" s="707"/>
      <c r="CGO34" s="707"/>
      <c r="CGP34" s="707"/>
      <c r="CGQ34" s="707"/>
      <c r="CGR34" s="707"/>
      <c r="CGS34" s="707"/>
      <c r="CGT34" s="707"/>
      <c r="CGU34" s="707"/>
      <c r="CGV34" s="707"/>
      <c r="CGW34" s="707"/>
      <c r="CGX34" s="707"/>
      <c r="CGY34" s="707"/>
      <c r="CGZ34" s="707"/>
      <c r="CHA34" s="707"/>
      <c r="CHB34" s="707"/>
      <c r="CHC34" s="707"/>
      <c r="CHD34" s="707"/>
      <c r="CHE34" s="707"/>
      <c r="CHF34" s="707"/>
      <c r="CHG34" s="707"/>
      <c r="CHH34" s="707"/>
      <c r="CHI34" s="707"/>
      <c r="CHJ34" s="707"/>
      <c r="CHK34" s="707"/>
      <c r="CHL34" s="707"/>
      <c r="CHM34" s="707"/>
      <c r="CHN34" s="707"/>
      <c r="CHO34" s="707"/>
      <c r="CHP34" s="707"/>
      <c r="CHQ34" s="707"/>
      <c r="CHR34" s="707"/>
      <c r="CHS34" s="707"/>
      <c r="CHT34" s="707"/>
      <c r="CHU34" s="707"/>
      <c r="CHV34" s="707"/>
      <c r="CHW34" s="707"/>
      <c r="CHX34" s="707"/>
      <c r="CHY34" s="707"/>
      <c r="CHZ34" s="707"/>
      <c r="CIA34" s="707"/>
      <c r="CIB34" s="707"/>
      <c r="CIC34" s="707"/>
      <c r="CID34" s="707"/>
      <c r="CIE34" s="707"/>
      <c r="CIF34" s="707"/>
      <c r="CIG34" s="707"/>
      <c r="CIH34" s="707"/>
      <c r="CII34" s="707"/>
      <c r="CIJ34" s="707"/>
      <c r="CIK34" s="707"/>
      <c r="CIL34" s="707"/>
      <c r="CIM34" s="707"/>
      <c r="CIN34" s="707"/>
      <c r="CIO34" s="707"/>
      <c r="CIP34" s="707"/>
      <c r="CIQ34" s="707"/>
      <c r="CIR34" s="707"/>
      <c r="CIS34" s="707"/>
      <c r="CIT34" s="707"/>
      <c r="CIU34" s="707"/>
      <c r="CIV34" s="707"/>
      <c r="CIW34" s="707"/>
      <c r="CIX34" s="707"/>
      <c r="CIY34" s="707"/>
      <c r="CIZ34" s="707"/>
      <c r="CJA34" s="707"/>
      <c r="CJB34" s="707"/>
      <c r="CJC34" s="707"/>
      <c r="CJD34" s="707"/>
      <c r="CJE34" s="707"/>
      <c r="CJF34" s="707"/>
      <c r="CJG34" s="707"/>
      <c r="CJH34" s="707"/>
      <c r="CJI34" s="707"/>
      <c r="CJJ34" s="707"/>
      <c r="CJK34" s="707"/>
      <c r="CJL34" s="707"/>
      <c r="CJM34" s="707"/>
      <c r="CJN34" s="707"/>
      <c r="CJO34" s="707"/>
      <c r="CJP34" s="707"/>
      <c r="CJQ34" s="707"/>
      <c r="CJR34" s="707"/>
      <c r="CJS34" s="707"/>
      <c r="CJT34" s="707"/>
      <c r="CJU34" s="707"/>
      <c r="CJV34" s="707"/>
      <c r="CJW34" s="707"/>
      <c r="CJX34" s="707"/>
      <c r="CJY34" s="707"/>
      <c r="CJZ34" s="707"/>
      <c r="CKA34" s="707"/>
      <c r="CKB34" s="707"/>
      <c r="CKC34" s="707"/>
      <c r="CKD34" s="707"/>
      <c r="CKE34" s="707"/>
      <c r="CKF34" s="707"/>
      <c r="CKG34" s="707"/>
      <c r="CKH34" s="707"/>
      <c r="CKI34" s="707"/>
      <c r="CKJ34" s="707"/>
      <c r="CKK34" s="707"/>
      <c r="CKL34" s="707"/>
      <c r="CKM34" s="707"/>
      <c r="CKN34" s="707"/>
      <c r="CKO34" s="707"/>
      <c r="CKP34" s="707"/>
      <c r="CKQ34" s="707"/>
      <c r="CKR34" s="707"/>
      <c r="CKS34" s="707"/>
      <c r="CKT34" s="707"/>
      <c r="CKU34" s="707"/>
      <c r="CKV34" s="707"/>
      <c r="CKW34" s="707"/>
      <c r="CKX34" s="707"/>
      <c r="CKY34" s="707"/>
      <c r="CKZ34" s="707"/>
      <c r="CLA34" s="707"/>
      <c r="CLB34" s="707"/>
      <c r="CLC34" s="707"/>
      <c r="CLD34" s="707"/>
      <c r="CLE34" s="707"/>
      <c r="CLF34" s="707"/>
      <c r="CLG34" s="707"/>
      <c r="CLH34" s="707"/>
      <c r="CLI34" s="707"/>
      <c r="CLJ34" s="707"/>
      <c r="CLK34" s="707"/>
      <c r="CLL34" s="707"/>
      <c r="CLM34" s="707"/>
      <c r="CLN34" s="707"/>
      <c r="CLO34" s="707"/>
      <c r="CLP34" s="707"/>
      <c r="CLQ34" s="707"/>
      <c r="CLR34" s="707"/>
      <c r="CLS34" s="707"/>
      <c r="CLT34" s="707"/>
      <c r="CLU34" s="707"/>
      <c r="CLV34" s="707"/>
      <c r="CLW34" s="707"/>
      <c r="CLX34" s="707"/>
      <c r="CLY34" s="707"/>
      <c r="CLZ34" s="707"/>
      <c r="CMA34" s="707"/>
      <c r="CMB34" s="707"/>
      <c r="CMC34" s="707"/>
      <c r="CMD34" s="707"/>
      <c r="CME34" s="707"/>
      <c r="CMF34" s="707"/>
      <c r="CMG34" s="707"/>
      <c r="CMH34" s="707"/>
      <c r="CMI34" s="707"/>
      <c r="CMJ34" s="707"/>
      <c r="CMK34" s="707"/>
      <c r="CML34" s="707"/>
      <c r="CMM34" s="707"/>
      <c r="CMN34" s="707"/>
      <c r="CMO34" s="707"/>
      <c r="CMP34" s="707"/>
      <c r="CMQ34" s="707"/>
      <c r="CMR34" s="707"/>
      <c r="CMS34" s="707"/>
      <c r="CMT34" s="707"/>
      <c r="CMU34" s="707"/>
      <c r="CMV34" s="707"/>
      <c r="CMW34" s="707"/>
      <c r="CMX34" s="707"/>
      <c r="CMY34" s="707"/>
      <c r="CMZ34" s="707"/>
      <c r="CNA34" s="707"/>
      <c r="CNB34" s="707"/>
      <c r="CNC34" s="707"/>
      <c r="CND34" s="707"/>
      <c r="CNE34" s="707"/>
      <c r="CNF34" s="707"/>
      <c r="CNG34" s="707"/>
      <c r="CNH34" s="707"/>
      <c r="CNI34" s="707"/>
      <c r="CNJ34" s="707"/>
      <c r="CNK34" s="707"/>
      <c r="CNL34" s="707"/>
      <c r="CNM34" s="707"/>
      <c r="CNN34" s="707"/>
      <c r="CNO34" s="707"/>
      <c r="CNP34" s="707"/>
      <c r="CNQ34" s="707"/>
      <c r="CNR34" s="707"/>
      <c r="CNS34" s="707"/>
      <c r="CNT34" s="707"/>
      <c r="CNU34" s="707"/>
      <c r="CNV34" s="707"/>
      <c r="CNW34" s="707"/>
      <c r="CNX34" s="707"/>
      <c r="CNY34" s="707"/>
      <c r="CNZ34" s="707"/>
      <c r="COA34" s="707"/>
      <c r="COB34" s="707"/>
      <c r="COC34" s="707"/>
      <c r="COD34" s="707"/>
      <c r="COE34" s="707"/>
      <c r="COF34" s="707"/>
      <c r="COG34" s="707"/>
      <c r="COH34" s="707"/>
      <c r="COI34" s="707"/>
      <c r="COJ34" s="707"/>
      <c r="COK34" s="707"/>
      <c r="COL34" s="707"/>
      <c r="COM34" s="707"/>
      <c r="CON34" s="707"/>
      <c r="COO34" s="707"/>
      <c r="COP34" s="707"/>
      <c r="COQ34" s="707"/>
      <c r="COR34" s="707"/>
      <c r="COS34" s="707"/>
      <c r="COT34" s="707"/>
      <c r="COU34" s="707"/>
      <c r="COV34" s="707"/>
      <c r="COW34" s="707"/>
      <c r="COX34" s="707"/>
      <c r="COY34" s="707"/>
      <c r="COZ34" s="707"/>
      <c r="CPA34" s="707"/>
      <c r="CPB34" s="707"/>
      <c r="CPC34" s="707"/>
      <c r="CPD34" s="707"/>
      <c r="CPE34" s="707"/>
      <c r="CPF34" s="707"/>
      <c r="CPG34" s="707"/>
      <c r="CPH34" s="707"/>
      <c r="CPI34" s="707"/>
      <c r="CPJ34" s="707"/>
      <c r="CPK34" s="707"/>
      <c r="CPL34" s="707"/>
      <c r="CPM34" s="707"/>
      <c r="CPN34" s="707"/>
      <c r="CPO34" s="707"/>
      <c r="CPP34" s="707"/>
      <c r="CPQ34" s="707"/>
      <c r="CPR34" s="707"/>
      <c r="CPS34" s="707"/>
      <c r="CPT34" s="707"/>
      <c r="CPU34" s="707"/>
      <c r="CPV34" s="707"/>
      <c r="CPW34" s="707"/>
      <c r="CPX34" s="707"/>
      <c r="CPY34" s="707"/>
      <c r="CPZ34" s="707"/>
      <c r="CQA34" s="707"/>
      <c r="CQB34" s="707"/>
      <c r="CQC34" s="707"/>
      <c r="CQD34" s="707"/>
      <c r="CQE34" s="707"/>
      <c r="CQF34" s="707"/>
      <c r="CQG34" s="707"/>
      <c r="CQH34" s="707"/>
      <c r="CQI34" s="707"/>
      <c r="CQJ34" s="707"/>
      <c r="CQK34" s="707"/>
      <c r="CQL34" s="707"/>
      <c r="CQM34" s="707"/>
      <c r="CQN34" s="707"/>
      <c r="CQO34" s="707"/>
      <c r="CQP34" s="707"/>
      <c r="CQQ34" s="707"/>
      <c r="CQR34" s="707"/>
      <c r="CQS34" s="707"/>
      <c r="CQT34" s="707"/>
      <c r="CQU34" s="707"/>
      <c r="CQV34" s="707"/>
      <c r="CQW34" s="707"/>
      <c r="CQX34" s="707"/>
      <c r="CQY34" s="707"/>
      <c r="CQZ34" s="707"/>
      <c r="CRA34" s="707"/>
      <c r="CRB34" s="707"/>
      <c r="CRC34" s="707"/>
      <c r="CRD34" s="707"/>
      <c r="CRE34" s="707"/>
      <c r="CRF34" s="707"/>
      <c r="CRG34" s="707"/>
      <c r="CRH34" s="707"/>
      <c r="CRI34" s="707"/>
      <c r="CRJ34" s="707"/>
      <c r="CRK34" s="707"/>
      <c r="CRL34" s="707"/>
      <c r="CRM34" s="707"/>
      <c r="CRN34" s="707"/>
      <c r="CRO34" s="707"/>
      <c r="CRP34" s="707"/>
      <c r="CRQ34" s="707"/>
      <c r="CRR34" s="707"/>
      <c r="CRS34" s="707"/>
      <c r="CRT34" s="707"/>
      <c r="CRU34" s="707"/>
      <c r="CRV34" s="707"/>
      <c r="CRW34" s="707"/>
      <c r="CRX34" s="707"/>
      <c r="CRY34" s="707"/>
      <c r="CRZ34" s="707"/>
      <c r="CSA34" s="707"/>
      <c r="CSB34" s="707"/>
      <c r="CSC34" s="707"/>
      <c r="CSD34" s="707"/>
      <c r="CSE34" s="707"/>
      <c r="CSF34" s="707"/>
      <c r="CSG34" s="707"/>
      <c r="CSH34" s="707"/>
      <c r="CSI34" s="707"/>
      <c r="CSJ34" s="707"/>
      <c r="CSK34" s="707"/>
      <c r="CSL34" s="707"/>
      <c r="CSM34" s="707"/>
      <c r="CSN34" s="707"/>
      <c r="CSO34" s="707"/>
      <c r="CSP34" s="707"/>
      <c r="CSQ34" s="707"/>
      <c r="CSR34" s="707"/>
      <c r="CSS34" s="707"/>
      <c r="CST34" s="707"/>
      <c r="CSU34" s="707"/>
      <c r="CSV34" s="707"/>
      <c r="CSW34" s="707"/>
      <c r="CSX34" s="707"/>
      <c r="CSY34" s="707"/>
      <c r="CSZ34" s="707"/>
      <c r="CTA34" s="707"/>
      <c r="CTB34" s="707"/>
      <c r="CTC34" s="707"/>
      <c r="CTD34" s="707"/>
      <c r="CTE34" s="707"/>
      <c r="CTF34" s="707"/>
      <c r="CTG34" s="707"/>
      <c r="CTH34" s="707"/>
      <c r="CTI34" s="707"/>
      <c r="CTJ34" s="707"/>
      <c r="CTK34" s="707"/>
      <c r="CTL34" s="707"/>
      <c r="CTM34" s="707"/>
      <c r="CTN34" s="707"/>
      <c r="CTO34" s="707"/>
      <c r="CTP34" s="707"/>
      <c r="CTQ34" s="707"/>
      <c r="CTR34" s="707"/>
      <c r="CTS34" s="707"/>
      <c r="CTT34" s="707"/>
      <c r="CTU34" s="707"/>
      <c r="CTV34" s="707"/>
      <c r="CTW34" s="707"/>
      <c r="CTX34" s="707"/>
      <c r="CTY34" s="707"/>
      <c r="CTZ34" s="707"/>
      <c r="CUA34" s="707"/>
      <c r="CUB34" s="707"/>
      <c r="CUC34" s="707"/>
      <c r="CUD34" s="707"/>
      <c r="CUE34" s="707"/>
      <c r="CUF34" s="707"/>
      <c r="CUG34" s="707"/>
      <c r="CUH34" s="707"/>
      <c r="CUI34" s="707"/>
      <c r="CUJ34" s="707"/>
      <c r="CUK34" s="707"/>
      <c r="CUL34" s="707"/>
      <c r="CUM34" s="707"/>
      <c r="CUN34" s="707"/>
      <c r="CUO34" s="707"/>
      <c r="CUP34" s="707"/>
      <c r="CUQ34" s="707"/>
      <c r="CUR34" s="707"/>
      <c r="CUS34" s="707"/>
      <c r="CUT34" s="707"/>
      <c r="CUU34" s="707"/>
      <c r="CUV34" s="707"/>
      <c r="CUW34" s="707"/>
      <c r="CUX34" s="707"/>
      <c r="CUY34" s="707"/>
      <c r="CUZ34" s="707"/>
      <c r="CVA34" s="707"/>
      <c r="CVB34" s="707"/>
      <c r="CVC34" s="707"/>
      <c r="CVD34" s="707"/>
      <c r="CVE34" s="707"/>
      <c r="CVF34" s="707"/>
      <c r="CVG34" s="707"/>
      <c r="CVH34" s="707"/>
      <c r="CVI34" s="707"/>
      <c r="CVJ34" s="707"/>
      <c r="CVK34" s="707"/>
      <c r="CVL34" s="707"/>
      <c r="CVM34" s="707"/>
      <c r="CVN34" s="707"/>
      <c r="CVO34" s="707"/>
      <c r="CVP34" s="707"/>
      <c r="CVQ34" s="707"/>
      <c r="CVR34" s="707"/>
      <c r="CVS34" s="707"/>
      <c r="CVT34" s="707"/>
      <c r="CVU34" s="707"/>
      <c r="CVV34" s="707"/>
      <c r="CVW34" s="707"/>
      <c r="CVX34" s="707"/>
      <c r="CVY34" s="707"/>
      <c r="CVZ34" s="707"/>
      <c r="CWA34" s="707"/>
      <c r="CWB34" s="707"/>
      <c r="CWC34" s="707"/>
      <c r="CWD34" s="707"/>
      <c r="CWE34" s="707"/>
      <c r="CWF34" s="707"/>
      <c r="CWG34" s="707"/>
      <c r="CWH34" s="707"/>
      <c r="CWI34" s="707"/>
      <c r="CWJ34" s="707"/>
      <c r="CWK34" s="707"/>
      <c r="CWL34" s="707"/>
      <c r="CWM34" s="707"/>
      <c r="CWN34" s="707"/>
      <c r="CWO34" s="707"/>
      <c r="CWP34" s="707"/>
      <c r="CWQ34" s="707"/>
      <c r="CWR34" s="707"/>
      <c r="CWS34" s="707"/>
      <c r="CWT34" s="707"/>
      <c r="CWU34" s="707"/>
      <c r="CWV34" s="707"/>
      <c r="CWW34" s="707"/>
      <c r="CWX34" s="707"/>
      <c r="CWY34" s="707"/>
      <c r="CWZ34" s="707"/>
      <c r="CXA34" s="707"/>
      <c r="CXB34" s="707"/>
      <c r="CXC34" s="707"/>
      <c r="CXD34" s="707"/>
      <c r="CXE34" s="707"/>
      <c r="CXF34" s="707"/>
      <c r="CXG34" s="707"/>
      <c r="CXH34" s="707"/>
      <c r="CXI34" s="707"/>
      <c r="CXJ34" s="707"/>
      <c r="CXK34" s="707"/>
      <c r="CXL34" s="707"/>
      <c r="CXM34" s="707"/>
      <c r="CXN34" s="707"/>
      <c r="CXO34" s="707"/>
      <c r="CXP34" s="707"/>
      <c r="CXQ34" s="707"/>
      <c r="CXR34" s="707"/>
      <c r="CXS34" s="707"/>
      <c r="CXT34" s="707"/>
      <c r="CXU34" s="707"/>
      <c r="CXV34" s="707"/>
      <c r="CXW34" s="707"/>
      <c r="CXX34" s="707"/>
      <c r="CXY34" s="707"/>
      <c r="CXZ34" s="707"/>
      <c r="CYA34" s="707"/>
      <c r="CYB34" s="707"/>
      <c r="CYC34" s="707"/>
      <c r="CYD34" s="707"/>
      <c r="CYE34" s="707"/>
      <c r="CYF34" s="707"/>
      <c r="CYG34" s="707"/>
      <c r="CYH34" s="707"/>
      <c r="CYI34" s="707"/>
      <c r="CYJ34" s="707"/>
      <c r="CYK34" s="707"/>
      <c r="CYL34" s="707"/>
      <c r="CYM34" s="707"/>
      <c r="CYN34" s="707"/>
      <c r="CYO34" s="707"/>
      <c r="CYP34" s="707"/>
      <c r="CYQ34" s="707"/>
      <c r="CYR34" s="707"/>
      <c r="CYS34" s="707"/>
      <c r="CYT34" s="707"/>
      <c r="CYU34" s="707"/>
      <c r="CYV34" s="707"/>
      <c r="CYW34" s="707"/>
      <c r="CYX34" s="707"/>
      <c r="CYY34" s="707"/>
      <c r="CYZ34" s="707"/>
      <c r="CZA34" s="707"/>
      <c r="CZB34" s="707"/>
      <c r="CZC34" s="707"/>
      <c r="CZD34" s="707"/>
      <c r="CZE34" s="707"/>
      <c r="CZF34" s="707"/>
      <c r="CZG34" s="707"/>
      <c r="CZH34" s="707"/>
      <c r="CZI34" s="707"/>
      <c r="CZJ34" s="707"/>
      <c r="CZK34" s="707"/>
      <c r="CZL34" s="707"/>
      <c r="CZM34" s="707"/>
      <c r="CZN34" s="707"/>
      <c r="CZO34" s="707"/>
      <c r="CZP34" s="707"/>
      <c r="CZQ34" s="707"/>
      <c r="CZR34" s="707"/>
      <c r="CZS34" s="707"/>
      <c r="CZT34" s="707"/>
      <c r="CZU34" s="707"/>
      <c r="CZV34" s="707"/>
      <c r="CZW34" s="707"/>
      <c r="CZX34" s="707"/>
      <c r="CZY34" s="707"/>
      <c r="CZZ34" s="707"/>
      <c r="DAA34" s="707"/>
      <c r="DAB34" s="707"/>
      <c r="DAC34" s="707"/>
      <c r="DAD34" s="707"/>
      <c r="DAE34" s="707"/>
      <c r="DAF34" s="707"/>
      <c r="DAG34" s="707"/>
      <c r="DAH34" s="707"/>
      <c r="DAI34" s="707"/>
      <c r="DAJ34" s="707"/>
      <c r="DAK34" s="707"/>
      <c r="DAL34" s="707"/>
      <c r="DAM34" s="707"/>
      <c r="DAN34" s="707"/>
      <c r="DAO34" s="707"/>
      <c r="DAP34" s="707"/>
      <c r="DAQ34" s="707"/>
      <c r="DAR34" s="707"/>
      <c r="DAS34" s="707"/>
      <c r="DAT34" s="707"/>
      <c r="DAU34" s="707"/>
      <c r="DAV34" s="707"/>
      <c r="DAW34" s="707"/>
      <c r="DAX34" s="707"/>
      <c r="DAY34" s="707"/>
      <c r="DAZ34" s="707"/>
      <c r="DBA34" s="707"/>
      <c r="DBB34" s="707"/>
      <c r="DBC34" s="707"/>
      <c r="DBD34" s="707"/>
      <c r="DBE34" s="707"/>
      <c r="DBF34" s="707"/>
      <c r="DBG34" s="707"/>
      <c r="DBH34" s="707"/>
      <c r="DBI34" s="707"/>
      <c r="DBJ34" s="707"/>
      <c r="DBK34" s="707"/>
      <c r="DBL34" s="707"/>
      <c r="DBM34" s="707"/>
      <c r="DBN34" s="707"/>
      <c r="DBO34" s="707"/>
      <c r="DBP34" s="707"/>
      <c r="DBQ34" s="707"/>
      <c r="DBR34" s="707"/>
      <c r="DBS34" s="707"/>
      <c r="DBT34" s="707"/>
      <c r="DBU34" s="707"/>
      <c r="DBV34" s="707"/>
      <c r="DBW34" s="707"/>
      <c r="DBX34" s="707"/>
      <c r="DBY34" s="707"/>
      <c r="DBZ34" s="707"/>
      <c r="DCA34" s="707"/>
      <c r="DCB34" s="707"/>
      <c r="DCC34" s="707"/>
      <c r="DCD34" s="707"/>
      <c r="DCE34" s="707"/>
      <c r="DCF34" s="707"/>
      <c r="DCG34" s="707"/>
      <c r="DCH34" s="707"/>
      <c r="DCI34" s="707"/>
      <c r="DCJ34" s="707"/>
      <c r="DCK34" s="707"/>
      <c r="DCL34" s="707"/>
      <c r="DCM34" s="707"/>
      <c r="DCN34" s="707"/>
      <c r="DCO34" s="707"/>
      <c r="DCP34" s="707"/>
      <c r="DCQ34" s="707"/>
      <c r="DCR34" s="707"/>
      <c r="DCS34" s="707"/>
      <c r="DCT34" s="707"/>
      <c r="DCU34" s="707"/>
      <c r="DCV34" s="707"/>
      <c r="DCW34" s="707"/>
      <c r="DCX34" s="707"/>
      <c r="DCY34" s="707"/>
      <c r="DCZ34" s="707"/>
      <c r="DDA34" s="707"/>
      <c r="DDB34" s="707"/>
      <c r="DDC34" s="707"/>
      <c r="DDD34" s="707"/>
      <c r="DDE34" s="707"/>
      <c r="DDF34" s="707"/>
      <c r="DDG34" s="707"/>
      <c r="DDH34" s="707"/>
      <c r="DDI34" s="707"/>
      <c r="DDJ34" s="707"/>
      <c r="DDK34" s="707"/>
      <c r="DDL34" s="707"/>
      <c r="DDM34" s="707"/>
      <c r="DDN34" s="707"/>
      <c r="DDO34" s="707"/>
      <c r="DDP34" s="707"/>
      <c r="DDQ34" s="707"/>
      <c r="DDR34" s="707"/>
      <c r="DDS34" s="707"/>
      <c r="DDT34" s="707"/>
      <c r="DDU34" s="707"/>
      <c r="DDV34" s="707"/>
      <c r="DDW34" s="707"/>
      <c r="DDX34" s="707"/>
      <c r="DDY34" s="707"/>
      <c r="DDZ34" s="707"/>
      <c r="DEA34" s="707"/>
      <c r="DEB34" s="707"/>
      <c r="DEC34" s="707"/>
      <c r="DED34" s="707"/>
      <c r="DEE34" s="707"/>
      <c r="DEF34" s="707"/>
      <c r="DEG34" s="707"/>
      <c r="DEH34" s="707"/>
      <c r="DEI34" s="707"/>
      <c r="DEJ34" s="707"/>
      <c r="DEK34" s="707"/>
      <c r="DEL34" s="707"/>
      <c r="DEM34" s="707"/>
      <c r="DEN34" s="707"/>
      <c r="DEO34" s="707"/>
      <c r="DEP34" s="707"/>
      <c r="DEQ34" s="707"/>
      <c r="DER34" s="707"/>
      <c r="DES34" s="707"/>
      <c r="DET34" s="707"/>
      <c r="DEU34" s="707"/>
      <c r="DEV34" s="707"/>
      <c r="DEW34" s="707"/>
      <c r="DEX34" s="707"/>
      <c r="DEY34" s="707"/>
      <c r="DEZ34" s="707"/>
      <c r="DFA34" s="707"/>
      <c r="DFB34" s="707"/>
      <c r="DFC34" s="707"/>
      <c r="DFD34" s="707"/>
      <c r="DFE34" s="707"/>
      <c r="DFF34" s="707"/>
      <c r="DFG34" s="707"/>
      <c r="DFH34" s="707"/>
      <c r="DFI34" s="707"/>
      <c r="DFJ34" s="707"/>
      <c r="DFK34" s="707"/>
      <c r="DFL34" s="707"/>
      <c r="DFM34" s="707"/>
      <c r="DFN34" s="707"/>
      <c r="DFO34" s="707"/>
      <c r="DFP34" s="707"/>
      <c r="DFQ34" s="707"/>
      <c r="DFR34" s="707"/>
      <c r="DFS34" s="707"/>
      <c r="DFT34" s="707"/>
      <c r="DFU34" s="707"/>
      <c r="DFV34" s="707"/>
      <c r="DFW34" s="707"/>
      <c r="DFX34" s="707"/>
      <c r="DFY34" s="707"/>
      <c r="DFZ34" s="707"/>
      <c r="DGA34" s="707"/>
      <c r="DGB34" s="707"/>
      <c r="DGC34" s="707"/>
      <c r="DGD34" s="707"/>
      <c r="DGE34" s="707"/>
      <c r="DGF34" s="707"/>
      <c r="DGG34" s="707"/>
      <c r="DGH34" s="707"/>
      <c r="DGI34" s="707"/>
      <c r="DGJ34" s="707"/>
      <c r="DGK34" s="707"/>
      <c r="DGL34" s="707"/>
      <c r="DGM34" s="707"/>
      <c r="DGN34" s="707"/>
      <c r="DGO34" s="707"/>
      <c r="DGP34" s="707"/>
      <c r="DGQ34" s="707"/>
      <c r="DGR34" s="707"/>
      <c r="DGS34" s="707"/>
      <c r="DGT34" s="707"/>
      <c r="DGU34" s="707"/>
      <c r="DGV34" s="707"/>
      <c r="DGW34" s="707"/>
      <c r="DGX34" s="707"/>
      <c r="DGY34" s="707"/>
      <c r="DGZ34" s="707"/>
      <c r="DHA34" s="707"/>
      <c r="DHB34" s="707"/>
      <c r="DHC34" s="707"/>
      <c r="DHD34" s="707"/>
      <c r="DHE34" s="707"/>
      <c r="DHF34" s="707"/>
      <c r="DHG34" s="707"/>
      <c r="DHH34" s="707"/>
      <c r="DHI34" s="707"/>
      <c r="DHJ34" s="707"/>
      <c r="DHK34" s="707"/>
      <c r="DHL34" s="707"/>
      <c r="DHM34" s="707"/>
      <c r="DHN34" s="707"/>
      <c r="DHO34" s="707"/>
      <c r="DHP34" s="707"/>
      <c r="DHQ34" s="707"/>
      <c r="DHR34" s="707"/>
      <c r="DHS34" s="707"/>
      <c r="DHT34" s="707"/>
      <c r="DHU34" s="707"/>
      <c r="DHV34" s="707"/>
      <c r="DHW34" s="707"/>
      <c r="DHX34" s="707"/>
      <c r="DHY34" s="707"/>
      <c r="DHZ34" s="707"/>
      <c r="DIA34" s="707"/>
      <c r="DIB34" s="707"/>
      <c r="DIC34" s="707"/>
      <c r="DID34" s="707"/>
      <c r="DIE34" s="707"/>
      <c r="DIF34" s="707"/>
      <c r="DIG34" s="707"/>
      <c r="DIH34" s="707"/>
      <c r="DII34" s="707"/>
      <c r="DIJ34" s="707"/>
      <c r="DIK34" s="707"/>
      <c r="DIL34" s="707"/>
      <c r="DIM34" s="707"/>
      <c r="DIN34" s="707"/>
      <c r="DIO34" s="707"/>
      <c r="DIP34" s="707"/>
      <c r="DIQ34" s="707"/>
      <c r="DIR34" s="707"/>
      <c r="DIS34" s="707"/>
      <c r="DIT34" s="707"/>
      <c r="DIU34" s="707"/>
      <c r="DIV34" s="707"/>
      <c r="DIW34" s="707"/>
      <c r="DIX34" s="707"/>
      <c r="DIY34" s="707"/>
      <c r="DIZ34" s="707"/>
      <c r="DJA34" s="707"/>
      <c r="DJB34" s="707"/>
      <c r="DJC34" s="707"/>
      <c r="DJD34" s="707"/>
      <c r="DJE34" s="707"/>
      <c r="DJF34" s="707"/>
      <c r="DJG34" s="707"/>
      <c r="DJH34" s="707"/>
      <c r="DJI34" s="707"/>
      <c r="DJJ34" s="707"/>
      <c r="DJK34" s="707"/>
      <c r="DJL34" s="707"/>
      <c r="DJM34" s="707"/>
      <c r="DJN34" s="707"/>
      <c r="DJO34" s="707"/>
      <c r="DJP34" s="707"/>
      <c r="DJQ34" s="707"/>
      <c r="DJR34" s="707"/>
      <c r="DJS34" s="707"/>
      <c r="DJT34" s="707"/>
      <c r="DJU34" s="707"/>
      <c r="DJV34" s="707"/>
      <c r="DJW34" s="707"/>
      <c r="DJX34" s="707"/>
      <c r="DJY34" s="707"/>
      <c r="DJZ34" s="707"/>
      <c r="DKA34" s="707"/>
      <c r="DKB34" s="707"/>
      <c r="DKC34" s="707"/>
      <c r="DKD34" s="707"/>
      <c r="DKE34" s="707"/>
      <c r="DKF34" s="707"/>
      <c r="DKG34" s="707"/>
      <c r="DKH34" s="707"/>
      <c r="DKI34" s="707"/>
      <c r="DKJ34" s="707"/>
      <c r="DKK34" s="707"/>
      <c r="DKL34" s="707"/>
      <c r="DKM34" s="707"/>
      <c r="DKN34" s="707"/>
      <c r="DKO34" s="707"/>
      <c r="DKP34" s="707"/>
      <c r="DKQ34" s="707"/>
      <c r="DKR34" s="707"/>
      <c r="DKS34" s="707"/>
      <c r="DKT34" s="707"/>
      <c r="DKU34" s="707"/>
      <c r="DKV34" s="707"/>
      <c r="DKW34" s="707"/>
      <c r="DKX34" s="707"/>
      <c r="DKY34" s="707"/>
      <c r="DKZ34" s="707"/>
      <c r="DLA34" s="707"/>
      <c r="DLB34" s="707"/>
      <c r="DLC34" s="707"/>
      <c r="DLD34" s="707"/>
      <c r="DLE34" s="707"/>
      <c r="DLF34" s="707"/>
      <c r="DLG34" s="707"/>
      <c r="DLH34" s="707"/>
      <c r="DLI34" s="707"/>
      <c r="DLJ34" s="707"/>
      <c r="DLK34" s="707"/>
      <c r="DLL34" s="707"/>
      <c r="DLM34" s="707"/>
      <c r="DLN34" s="707"/>
      <c r="DLO34" s="707"/>
      <c r="DLP34" s="707"/>
      <c r="DLQ34" s="707"/>
      <c r="DLR34" s="707"/>
      <c r="DLS34" s="707"/>
      <c r="DLT34" s="707"/>
      <c r="DLU34" s="707"/>
      <c r="DLV34" s="707"/>
      <c r="DLW34" s="707"/>
      <c r="DLX34" s="707"/>
      <c r="DLY34" s="707"/>
      <c r="DLZ34" s="707"/>
      <c r="DMA34" s="707"/>
      <c r="DMB34" s="707"/>
      <c r="DMC34" s="707"/>
      <c r="DMD34" s="707"/>
      <c r="DME34" s="707"/>
      <c r="DMF34" s="707"/>
      <c r="DMG34" s="707"/>
      <c r="DMH34" s="707"/>
      <c r="DMI34" s="707"/>
      <c r="DMJ34" s="707"/>
      <c r="DMK34" s="707"/>
      <c r="DML34" s="707"/>
      <c r="DMM34" s="707"/>
      <c r="DMN34" s="707"/>
      <c r="DMO34" s="707"/>
      <c r="DMP34" s="707"/>
      <c r="DMQ34" s="707"/>
      <c r="DMR34" s="707"/>
      <c r="DMS34" s="707"/>
      <c r="DMT34" s="707"/>
      <c r="DMU34" s="707"/>
      <c r="DMV34" s="707"/>
      <c r="DMW34" s="707"/>
      <c r="DMX34" s="707"/>
      <c r="DMY34" s="707"/>
      <c r="DMZ34" s="707"/>
      <c r="DNA34" s="707"/>
      <c r="DNB34" s="707"/>
      <c r="DNC34" s="707"/>
      <c r="DND34" s="707"/>
      <c r="DNE34" s="707"/>
      <c r="DNF34" s="707"/>
      <c r="DNG34" s="707"/>
      <c r="DNH34" s="707"/>
      <c r="DNI34" s="707"/>
      <c r="DNJ34" s="707"/>
      <c r="DNK34" s="707"/>
      <c r="DNL34" s="707"/>
      <c r="DNM34" s="707"/>
      <c r="DNN34" s="707"/>
      <c r="DNO34" s="707"/>
      <c r="DNP34" s="707"/>
      <c r="DNQ34" s="707"/>
      <c r="DNR34" s="707"/>
      <c r="DNS34" s="707"/>
      <c r="DNT34" s="707"/>
      <c r="DNU34" s="707"/>
      <c r="DNV34" s="707"/>
      <c r="DNW34" s="707"/>
      <c r="DNX34" s="707"/>
      <c r="DNY34" s="707"/>
      <c r="DNZ34" s="707"/>
      <c r="DOA34" s="707"/>
      <c r="DOB34" s="707"/>
      <c r="DOC34" s="707"/>
      <c r="DOD34" s="707"/>
      <c r="DOE34" s="707"/>
      <c r="DOF34" s="707"/>
      <c r="DOG34" s="707"/>
      <c r="DOH34" s="707"/>
      <c r="DOI34" s="707"/>
      <c r="DOJ34" s="707"/>
      <c r="DOK34" s="707"/>
      <c r="DOL34" s="707"/>
      <c r="DOM34" s="707"/>
      <c r="DON34" s="707"/>
      <c r="DOO34" s="707"/>
      <c r="DOP34" s="707"/>
      <c r="DOQ34" s="707"/>
      <c r="DOR34" s="707"/>
      <c r="DOS34" s="707"/>
      <c r="DOT34" s="707"/>
      <c r="DOU34" s="707"/>
      <c r="DOV34" s="707"/>
      <c r="DOW34" s="707"/>
      <c r="DOX34" s="707"/>
      <c r="DOY34" s="707"/>
      <c r="DOZ34" s="707"/>
      <c r="DPA34" s="707"/>
      <c r="DPB34" s="707"/>
      <c r="DPC34" s="707"/>
      <c r="DPD34" s="707"/>
      <c r="DPE34" s="707"/>
      <c r="DPF34" s="707"/>
      <c r="DPG34" s="707"/>
      <c r="DPH34" s="707"/>
      <c r="DPI34" s="707"/>
      <c r="DPJ34" s="707"/>
      <c r="DPK34" s="707"/>
      <c r="DPL34" s="707"/>
      <c r="DPM34" s="707"/>
      <c r="DPN34" s="707"/>
      <c r="DPO34" s="707"/>
      <c r="DPP34" s="707"/>
      <c r="DPQ34" s="707"/>
      <c r="DPR34" s="707"/>
      <c r="DPS34" s="707"/>
      <c r="DPT34" s="707"/>
      <c r="DPU34" s="707"/>
      <c r="DPV34" s="707"/>
      <c r="DPW34" s="707"/>
      <c r="DPX34" s="707"/>
      <c r="DPY34" s="707"/>
      <c r="DPZ34" s="707"/>
      <c r="DQA34" s="707"/>
      <c r="DQB34" s="707"/>
      <c r="DQC34" s="707"/>
      <c r="DQD34" s="707"/>
      <c r="DQE34" s="707"/>
      <c r="DQF34" s="707"/>
      <c r="DQG34" s="707"/>
      <c r="DQH34" s="707"/>
      <c r="DQI34" s="707"/>
      <c r="DQJ34" s="707"/>
      <c r="DQK34" s="707"/>
      <c r="DQL34" s="707"/>
      <c r="DQM34" s="707"/>
      <c r="DQN34" s="707"/>
      <c r="DQO34" s="707"/>
      <c r="DQP34" s="707"/>
      <c r="DQQ34" s="707"/>
      <c r="DQR34" s="707"/>
      <c r="DQS34" s="707"/>
      <c r="DQT34" s="707"/>
      <c r="DQU34" s="707"/>
      <c r="DQV34" s="707"/>
      <c r="DQW34" s="707"/>
      <c r="DQX34" s="707"/>
      <c r="DQY34" s="707"/>
      <c r="DQZ34" s="707"/>
      <c r="DRA34" s="707"/>
      <c r="DRB34" s="707"/>
      <c r="DRC34" s="707"/>
      <c r="DRD34" s="707"/>
      <c r="DRE34" s="707"/>
      <c r="DRF34" s="707"/>
      <c r="DRG34" s="707"/>
      <c r="DRH34" s="707"/>
      <c r="DRI34" s="707"/>
      <c r="DRJ34" s="707"/>
      <c r="DRK34" s="707"/>
      <c r="DRL34" s="707"/>
      <c r="DRM34" s="707"/>
      <c r="DRN34" s="707"/>
      <c r="DRO34" s="707"/>
      <c r="DRP34" s="707"/>
      <c r="DRQ34" s="707"/>
      <c r="DRR34" s="707"/>
      <c r="DRS34" s="707"/>
      <c r="DRT34" s="707"/>
      <c r="DRU34" s="707"/>
      <c r="DRV34" s="707"/>
      <c r="DRW34" s="707"/>
      <c r="DRX34" s="707"/>
      <c r="DRY34" s="707"/>
      <c r="DRZ34" s="707"/>
      <c r="DSA34" s="707"/>
      <c r="DSB34" s="707"/>
      <c r="DSC34" s="707"/>
      <c r="DSD34" s="707"/>
      <c r="DSE34" s="707"/>
      <c r="DSF34" s="707"/>
      <c r="DSG34" s="707"/>
      <c r="DSH34" s="707"/>
      <c r="DSI34" s="707"/>
      <c r="DSJ34" s="707"/>
      <c r="DSK34" s="707"/>
      <c r="DSL34" s="707"/>
      <c r="DSM34" s="707"/>
      <c r="DSN34" s="707"/>
      <c r="DSO34" s="707"/>
      <c r="DSP34" s="707"/>
      <c r="DSQ34" s="707"/>
      <c r="DSR34" s="707"/>
      <c r="DSS34" s="707"/>
      <c r="DST34" s="707"/>
      <c r="DSU34" s="707"/>
      <c r="DSV34" s="707"/>
      <c r="DSW34" s="707"/>
      <c r="DSX34" s="707"/>
      <c r="DSY34" s="707"/>
      <c r="DSZ34" s="707"/>
      <c r="DTA34" s="707"/>
      <c r="DTB34" s="707"/>
      <c r="DTC34" s="707"/>
      <c r="DTD34" s="707"/>
      <c r="DTE34" s="707"/>
      <c r="DTF34" s="707"/>
      <c r="DTG34" s="707"/>
      <c r="DTH34" s="707"/>
      <c r="DTI34" s="707"/>
      <c r="DTJ34" s="707"/>
      <c r="DTK34" s="707"/>
      <c r="DTL34" s="707"/>
      <c r="DTM34" s="707"/>
      <c r="DTN34" s="707"/>
      <c r="DTO34" s="707"/>
      <c r="DTP34" s="707"/>
      <c r="DTQ34" s="707"/>
      <c r="DTR34" s="707"/>
      <c r="DTS34" s="707"/>
      <c r="DTT34" s="707"/>
      <c r="DTU34" s="707"/>
      <c r="DTV34" s="707"/>
      <c r="DTW34" s="707"/>
      <c r="DTX34" s="707"/>
      <c r="DTY34" s="707"/>
      <c r="DTZ34" s="707"/>
      <c r="DUA34" s="707"/>
      <c r="DUB34" s="707"/>
      <c r="DUC34" s="707"/>
      <c r="DUD34" s="707"/>
      <c r="DUE34" s="707"/>
      <c r="DUF34" s="707"/>
      <c r="DUG34" s="707"/>
      <c r="DUH34" s="707"/>
      <c r="DUI34" s="707"/>
      <c r="DUJ34" s="707"/>
      <c r="DUK34" s="707"/>
      <c r="DUL34" s="707"/>
      <c r="DUM34" s="707"/>
      <c r="DUN34" s="707"/>
      <c r="DUO34" s="707"/>
      <c r="DUP34" s="707"/>
      <c r="DUQ34" s="707"/>
      <c r="DUR34" s="707"/>
      <c r="DUS34" s="707"/>
      <c r="DUT34" s="707"/>
      <c r="DUU34" s="707"/>
      <c r="DUV34" s="707"/>
      <c r="DUW34" s="707"/>
      <c r="DUX34" s="707"/>
      <c r="DUY34" s="707"/>
      <c r="DUZ34" s="707"/>
      <c r="DVA34" s="707"/>
      <c r="DVB34" s="707"/>
      <c r="DVC34" s="707"/>
      <c r="DVD34" s="707"/>
      <c r="DVE34" s="707"/>
      <c r="DVF34" s="707"/>
      <c r="DVG34" s="707"/>
      <c r="DVH34" s="707"/>
      <c r="DVI34" s="707"/>
      <c r="DVJ34" s="707"/>
      <c r="DVK34" s="707"/>
      <c r="DVL34" s="707"/>
      <c r="DVM34" s="707"/>
      <c r="DVN34" s="707"/>
      <c r="DVO34" s="707"/>
      <c r="DVP34" s="707"/>
      <c r="DVQ34" s="707"/>
      <c r="DVR34" s="707"/>
      <c r="DVS34" s="707"/>
      <c r="DVT34" s="707"/>
      <c r="DVU34" s="707"/>
      <c r="DVV34" s="707"/>
      <c r="DVW34" s="707"/>
      <c r="DVX34" s="707"/>
      <c r="DVY34" s="707"/>
      <c r="DVZ34" s="707"/>
      <c r="DWA34" s="707"/>
      <c r="DWB34" s="707"/>
      <c r="DWC34" s="707"/>
      <c r="DWD34" s="707"/>
      <c r="DWE34" s="707"/>
      <c r="DWF34" s="707"/>
      <c r="DWG34" s="707"/>
      <c r="DWH34" s="707"/>
      <c r="DWI34" s="707"/>
      <c r="DWJ34" s="707"/>
      <c r="DWK34" s="707"/>
      <c r="DWL34" s="707"/>
      <c r="DWM34" s="707"/>
      <c r="DWN34" s="707"/>
      <c r="DWO34" s="707"/>
      <c r="DWP34" s="707"/>
      <c r="DWQ34" s="707"/>
      <c r="DWR34" s="707"/>
      <c r="DWS34" s="707"/>
      <c r="DWT34" s="707"/>
      <c r="DWU34" s="707"/>
      <c r="DWV34" s="707"/>
      <c r="DWW34" s="707"/>
      <c r="DWX34" s="707"/>
      <c r="DWY34" s="707"/>
      <c r="DWZ34" s="707"/>
      <c r="DXA34" s="707"/>
      <c r="DXB34" s="707"/>
      <c r="DXC34" s="707"/>
      <c r="DXD34" s="707"/>
      <c r="DXE34" s="707"/>
      <c r="DXF34" s="707"/>
      <c r="DXG34" s="707"/>
      <c r="DXH34" s="707"/>
      <c r="DXI34" s="707"/>
      <c r="DXJ34" s="707"/>
      <c r="DXK34" s="707"/>
      <c r="DXL34" s="707"/>
      <c r="DXM34" s="707"/>
      <c r="DXN34" s="707"/>
      <c r="DXO34" s="707"/>
      <c r="DXP34" s="707"/>
      <c r="DXQ34" s="707"/>
      <c r="DXR34" s="707"/>
      <c r="DXS34" s="707"/>
      <c r="DXT34" s="707"/>
      <c r="DXU34" s="707"/>
      <c r="DXV34" s="707"/>
      <c r="DXW34" s="707"/>
      <c r="DXX34" s="707"/>
      <c r="DXY34" s="707"/>
      <c r="DXZ34" s="707"/>
      <c r="DYA34" s="707"/>
      <c r="DYB34" s="707"/>
      <c r="DYC34" s="707"/>
      <c r="DYD34" s="707"/>
      <c r="DYE34" s="707"/>
      <c r="DYF34" s="707"/>
      <c r="DYG34" s="707"/>
      <c r="DYH34" s="707"/>
      <c r="DYI34" s="707"/>
      <c r="DYJ34" s="707"/>
      <c r="DYK34" s="707"/>
      <c r="DYL34" s="707"/>
      <c r="DYM34" s="707"/>
      <c r="DYN34" s="707"/>
      <c r="DYO34" s="707"/>
      <c r="DYP34" s="707"/>
      <c r="DYQ34" s="707"/>
      <c r="DYR34" s="707"/>
      <c r="DYS34" s="707"/>
      <c r="DYT34" s="707"/>
      <c r="DYU34" s="707"/>
      <c r="DYV34" s="707"/>
      <c r="DYW34" s="707"/>
      <c r="DYX34" s="707"/>
      <c r="DYY34" s="707"/>
      <c r="DYZ34" s="707"/>
      <c r="DZA34" s="707"/>
      <c r="DZB34" s="707"/>
      <c r="DZC34" s="707"/>
      <c r="DZD34" s="707"/>
      <c r="DZE34" s="707"/>
      <c r="DZF34" s="707"/>
      <c r="DZG34" s="707"/>
      <c r="DZH34" s="707"/>
      <c r="DZI34" s="707"/>
      <c r="DZJ34" s="707"/>
      <c r="DZK34" s="707"/>
      <c r="DZL34" s="707"/>
      <c r="DZM34" s="707"/>
      <c r="DZN34" s="707"/>
      <c r="DZO34" s="707"/>
      <c r="DZP34" s="707"/>
      <c r="DZQ34" s="707"/>
      <c r="DZR34" s="707"/>
      <c r="DZS34" s="707"/>
      <c r="DZT34" s="707"/>
      <c r="DZU34" s="707"/>
      <c r="DZV34" s="707"/>
      <c r="DZW34" s="707"/>
      <c r="DZX34" s="707"/>
      <c r="DZY34" s="707"/>
      <c r="DZZ34" s="707"/>
      <c r="EAA34" s="707"/>
      <c r="EAB34" s="707"/>
      <c r="EAC34" s="707"/>
      <c r="EAD34" s="707"/>
      <c r="EAE34" s="707"/>
      <c r="EAF34" s="707"/>
      <c r="EAG34" s="707"/>
      <c r="EAH34" s="707"/>
      <c r="EAI34" s="707"/>
      <c r="EAJ34" s="707"/>
      <c r="EAK34" s="707"/>
      <c r="EAL34" s="707"/>
      <c r="EAM34" s="707"/>
      <c r="EAN34" s="707"/>
      <c r="EAO34" s="707"/>
      <c r="EAP34" s="707"/>
      <c r="EAQ34" s="707"/>
      <c r="EAR34" s="707"/>
      <c r="EAS34" s="707"/>
      <c r="EAT34" s="707"/>
      <c r="EAU34" s="707"/>
      <c r="EAV34" s="707"/>
      <c r="EAW34" s="707"/>
      <c r="EAX34" s="707"/>
      <c r="EAY34" s="707"/>
      <c r="EAZ34" s="707"/>
      <c r="EBA34" s="707"/>
      <c r="EBB34" s="707"/>
      <c r="EBC34" s="707"/>
      <c r="EBD34" s="707"/>
      <c r="EBE34" s="707"/>
      <c r="EBF34" s="707"/>
      <c r="EBG34" s="707"/>
      <c r="EBH34" s="707"/>
      <c r="EBI34" s="707"/>
      <c r="EBJ34" s="707"/>
      <c r="EBK34" s="707"/>
      <c r="EBL34" s="707"/>
      <c r="EBM34" s="707"/>
      <c r="EBN34" s="707"/>
      <c r="EBO34" s="707"/>
      <c r="EBP34" s="707"/>
      <c r="EBQ34" s="707"/>
      <c r="EBR34" s="707"/>
      <c r="EBS34" s="707"/>
      <c r="EBT34" s="707"/>
      <c r="EBU34" s="707"/>
      <c r="EBV34" s="707"/>
      <c r="EBW34" s="707"/>
      <c r="EBX34" s="707"/>
      <c r="EBY34" s="707"/>
      <c r="EBZ34" s="707"/>
      <c r="ECA34" s="707"/>
      <c r="ECB34" s="707"/>
      <c r="ECC34" s="707"/>
      <c r="ECD34" s="707"/>
      <c r="ECE34" s="707"/>
      <c r="ECF34" s="707"/>
      <c r="ECG34" s="707"/>
      <c r="ECH34" s="707"/>
      <c r="ECI34" s="707"/>
      <c r="ECJ34" s="707"/>
      <c r="ECK34" s="707"/>
      <c r="ECL34" s="707"/>
      <c r="ECM34" s="707"/>
      <c r="ECN34" s="707"/>
      <c r="ECO34" s="707"/>
      <c r="ECP34" s="707"/>
      <c r="ECQ34" s="707"/>
      <c r="ECR34" s="707"/>
      <c r="ECS34" s="707"/>
      <c r="ECT34" s="707"/>
      <c r="ECU34" s="707"/>
      <c r="ECV34" s="707"/>
      <c r="ECW34" s="707"/>
      <c r="ECX34" s="707"/>
      <c r="ECY34" s="707"/>
      <c r="ECZ34" s="707"/>
      <c r="EDA34" s="707"/>
      <c r="EDB34" s="707"/>
      <c r="EDC34" s="707"/>
      <c r="EDD34" s="707"/>
      <c r="EDE34" s="707"/>
      <c r="EDF34" s="707"/>
      <c r="EDG34" s="707"/>
      <c r="EDH34" s="707"/>
      <c r="EDI34" s="707"/>
      <c r="EDJ34" s="707"/>
      <c r="EDK34" s="707"/>
      <c r="EDL34" s="707"/>
      <c r="EDM34" s="707"/>
      <c r="EDN34" s="707"/>
      <c r="EDO34" s="707"/>
      <c r="EDP34" s="707"/>
      <c r="EDQ34" s="707"/>
      <c r="EDR34" s="707"/>
      <c r="EDS34" s="707"/>
      <c r="EDT34" s="707"/>
      <c r="EDU34" s="707"/>
      <c r="EDV34" s="707"/>
      <c r="EDW34" s="707"/>
      <c r="EDX34" s="707"/>
      <c r="EDY34" s="707"/>
      <c r="EDZ34" s="707"/>
      <c r="EEA34" s="707"/>
      <c r="EEB34" s="707"/>
      <c r="EEC34" s="707"/>
      <c r="EED34" s="707"/>
      <c r="EEE34" s="707"/>
      <c r="EEF34" s="707"/>
      <c r="EEG34" s="707"/>
      <c r="EEH34" s="707"/>
      <c r="EEI34" s="707"/>
      <c r="EEJ34" s="707"/>
      <c r="EEK34" s="707"/>
      <c r="EEL34" s="707"/>
      <c r="EEM34" s="707"/>
      <c r="EEN34" s="707"/>
      <c r="EEO34" s="707"/>
      <c r="EEP34" s="707"/>
      <c r="EEQ34" s="707"/>
      <c r="EER34" s="707"/>
      <c r="EES34" s="707"/>
      <c r="EET34" s="707"/>
      <c r="EEU34" s="707"/>
      <c r="EEV34" s="707"/>
      <c r="EEW34" s="707"/>
      <c r="EEX34" s="707"/>
      <c r="EEY34" s="707"/>
      <c r="EEZ34" s="707"/>
      <c r="EFA34" s="707"/>
      <c r="EFB34" s="707"/>
      <c r="EFC34" s="707"/>
      <c r="EFD34" s="707"/>
      <c r="EFE34" s="707"/>
      <c r="EFF34" s="707"/>
      <c r="EFG34" s="707"/>
      <c r="EFH34" s="707"/>
      <c r="EFI34" s="707"/>
      <c r="EFJ34" s="707"/>
      <c r="EFK34" s="707"/>
      <c r="EFL34" s="707"/>
      <c r="EFM34" s="707"/>
      <c r="EFN34" s="707"/>
      <c r="EFO34" s="707"/>
      <c r="EFP34" s="707"/>
      <c r="EFQ34" s="707"/>
      <c r="EFR34" s="707"/>
      <c r="EFS34" s="707"/>
      <c r="EFT34" s="707"/>
      <c r="EFU34" s="707"/>
      <c r="EFV34" s="707"/>
      <c r="EFW34" s="707"/>
      <c r="EFX34" s="707"/>
      <c r="EFY34" s="707"/>
      <c r="EFZ34" s="707"/>
      <c r="EGA34" s="707"/>
      <c r="EGB34" s="707"/>
      <c r="EGC34" s="707"/>
      <c r="EGD34" s="707"/>
      <c r="EGE34" s="707"/>
      <c r="EGF34" s="707"/>
      <c r="EGG34" s="707"/>
      <c r="EGH34" s="707"/>
      <c r="EGI34" s="707"/>
      <c r="EGJ34" s="707"/>
      <c r="EGK34" s="707"/>
      <c r="EGL34" s="707"/>
      <c r="EGM34" s="707"/>
      <c r="EGN34" s="707"/>
      <c r="EGO34" s="707"/>
      <c r="EGP34" s="707"/>
      <c r="EGQ34" s="707"/>
      <c r="EGR34" s="707"/>
      <c r="EGS34" s="707"/>
      <c r="EGT34" s="707"/>
      <c r="EGU34" s="707"/>
      <c r="EGV34" s="707"/>
      <c r="EGW34" s="707"/>
      <c r="EGX34" s="707"/>
      <c r="EGY34" s="707"/>
      <c r="EGZ34" s="707"/>
      <c r="EHA34" s="707"/>
      <c r="EHB34" s="707"/>
      <c r="EHC34" s="707"/>
      <c r="EHD34" s="707"/>
      <c r="EHE34" s="707"/>
      <c r="EHF34" s="707"/>
      <c r="EHG34" s="707"/>
      <c r="EHH34" s="707"/>
      <c r="EHI34" s="707"/>
      <c r="EHJ34" s="707"/>
      <c r="EHK34" s="707"/>
      <c r="EHL34" s="707"/>
      <c r="EHM34" s="707"/>
      <c r="EHN34" s="707"/>
      <c r="EHO34" s="707"/>
      <c r="EHP34" s="707"/>
      <c r="EHQ34" s="707"/>
      <c r="EHR34" s="707"/>
      <c r="EHS34" s="707"/>
      <c r="EHT34" s="707"/>
      <c r="EHU34" s="707"/>
      <c r="EHV34" s="707"/>
      <c r="EHW34" s="707"/>
      <c r="EHX34" s="707"/>
      <c r="EHY34" s="707"/>
      <c r="EHZ34" s="707"/>
      <c r="EIA34" s="707"/>
      <c r="EIB34" s="707"/>
      <c r="EIC34" s="707"/>
      <c r="EID34" s="707"/>
      <c r="EIE34" s="707"/>
      <c r="EIF34" s="707"/>
      <c r="EIG34" s="707"/>
      <c r="EIH34" s="707"/>
      <c r="EII34" s="707"/>
      <c r="EIJ34" s="707"/>
      <c r="EIK34" s="707"/>
      <c r="EIL34" s="707"/>
      <c r="EIM34" s="707"/>
      <c r="EIN34" s="707"/>
      <c r="EIO34" s="707"/>
      <c r="EIP34" s="707"/>
      <c r="EIQ34" s="707"/>
      <c r="EIR34" s="707"/>
      <c r="EIS34" s="707"/>
      <c r="EIT34" s="707"/>
      <c r="EIU34" s="707"/>
      <c r="EIV34" s="707"/>
      <c r="EIW34" s="707"/>
      <c r="EIX34" s="707"/>
      <c r="EIY34" s="707"/>
      <c r="EIZ34" s="707"/>
      <c r="EJA34" s="707"/>
      <c r="EJB34" s="707"/>
      <c r="EJC34" s="707"/>
      <c r="EJD34" s="707"/>
      <c r="EJE34" s="707"/>
      <c r="EJF34" s="707"/>
      <c r="EJG34" s="707"/>
      <c r="EJH34" s="707"/>
      <c r="EJI34" s="707"/>
      <c r="EJJ34" s="707"/>
      <c r="EJK34" s="707"/>
      <c r="EJL34" s="707"/>
      <c r="EJM34" s="707"/>
      <c r="EJN34" s="707"/>
      <c r="EJO34" s="707"/>
      <c r="EJP34" s="707"/>
      <c r="EJQ34" s="707"/>
      <c r="EJR34" s="707"/>
      <c r="EJS34" s="707"/>
      <c r="EJT34" s="707"/>
      <c r="EJU34" s="707"/>
      <c r="EJV34" s="707"/>
      <c r="EJW34" s="707"/>
      <c r="EJX34" s="707"/>
      <c r="EJY34" s="707"/>
      <c r="EJZ34" s="707"/>
      <c r="EKA34" s="707"/>
      <c r="EKB34" s="707"/>
      <c r="EKC34" s="707"/>
      <c r="EKD34" s="707"/>
      <c r="EKE34" s="707"/>
      <c r="EKF34" s="707"/>
      <c r="EKG34" s="707"/>
      <c r="EKH34" s="707"/>
      <c r="EKI34" s="707"/>
      <c r="EKJ34" s="707"/>
      <c r="EKK34" s="707"/>
      <c r="EKL34" s="707"/>
      <c r="EKM34" s="707"/>
      <c r="EKN34" s="707"/>
      <c r="EKO34" s="707"/>
      <c r="EKP34" s="707"/>
      <c r="EKQ34" s="707"/>
      <c r="EKR34" s="707"/>
      <c r="EKS34" s="707"/>
      <c r="EKT34" s="707"/>
      <c r="EKU34" s="707"/>
      <c r="EKV34" s="707"/>
      <c r="EKW34" s="707"/>
      <c r="EKX34" s="707"/>
      <c r="EKY34" s="707"/>
      <c r="EKZ34" s="707"/>
      <c r="ELA34" s="707"/>
      <c r="ELB34" s="707"/>
      <c r="ELC34" s="707"/>
      <c r="ELD34" s="707"/>
      <c r="ELE34" s="707"/>
      <c r="ELF34" s="707"/>
      <c r="ELG34" s="707"/>
      <c r="ELH34" s="707"/>
      <c r="ELI34" s="707"/>
      <c r="ELJ34" s="707"/>
      <c r="ELK34" s="707"/>
      <c r="ELL34" s="707"/>
      <c r="ELM34" s="707"/>
      <c r="ELN34" s="707"/>
      <c r="ELO34" s="707"/>
      <c r="ELP34" s="707"/>
      <c r="ELQ34" s="707"/>
      <c r="ELR34" s="707"/>
      <c r="ELS34" s="707"/>
      <c r="ELT34" s="707"/>
      <c r="ELU34" s="707"/>
      <c r="ELV34" s="707"/>
      <c r="ELW34" s="707"/>
      <c r="ELX34" s="707"/>
      <c r="ELY34" s="707"/>
      <c r="ELZ34" s="707"/>
      <c r="EMA34" s="707"/>
      <c r="EMB34" s="707"/>
      <c r="EMC34" s="707"/>
      <c r="EMD34" s="707"/>
      <c r="EME34" s="707"/>
      <c r="EMF34" s="707"/>
      <c r="EMG34" s="707"/>
      <c r="EMH34" s="707"/>
      <c r="EMI34" s="707"/>
      <c r="EMJ34" s="707"/>
      <c r="EMK34" s="707"/>
      <c r="EML34" s="707"/>
      <c r="EMM34" s="707"/>
      <c r="EMN34" s="707"/>
      <c r="EMO34" s="707"/>
      <c r="EMP34" s="707"/>
      <c r="EMQ34" s="707"/>
      <c r="EMR34" s="707"/>
      <c r="EMS34" s="707"/>
      <c r="EMT34" s="707"/>
      <c r="EMU34" s="707"/>
      <c r="EMV34" s="707"/>
      <c r="EMW34" s="707"/>
      <c r="EMX34" s="707"/>
      <c r="EMY34" s="707"/>
      <c r="EMZ34" s="707"/>
      <c r="ENA34" s="707"/>
      <c r="ENB34" s="707"/>
      <c r="ENC34" s="707"/>
      <c r="END34" s="707"/>
      <c r="ENE34" s="707"/>
      <c r="ENF34" s="707"/>
      <c r="ENG34" s="707"/>
      <c r="ENH34" s="707"/>
      <c r="ENI34" s="707"/>
      <c r="ENJ34" s="707"/>
      <c r="ENK34" s="707"/>
      <c r="ENL34" s="707"/>
      <c r="ENM34" s="707"/>
      <c r="ENN34" s="707"/>
      <c r="ENO34" s="707"/>
      <c r="ENP34" s="707"/>
      <c r="ENQ34" s="707"/>
      <c r="ENR34" s="707"/>
      <c r="ENS34" s="707"/>
      <c r="ENT34" s="707"/>
      <c r="ENU34" s="707"/>
      <c r="ENV34" s="707"/>
      <c r="ENW34" s="707"/>
      <c r="ENX34" s="707"/>
      <c r="ENY34" s="707"/>
      <c r="ENZ34" s="707"/>
      <c r="EOA34" s="707"/>
      <c r="EOB34" s="707"/>
      <c r="EOC34" s="707"/>
      <c r="EOD34" s="707"/>
      <c r="EOE34" s="707"/>
      <c r="EOF34" s="707"/>
      <c r="EOG34" s="707"/>
      <c r="EOH34" s="707"/>
      <c r="EOI34" s="707"/>
      <c r="EOJ34" s="707"/>
      <c r="EOK34" s="707"/>
      <c r="EOL34" s="707"/>
      <c r="EOM34" s="707"/>
      <c r="EON34" s="707"/>
      <c r="EOO34" s="707"/>
      <c r="EOP34" s="707"/>
      <c r="EOQ34" s="707"/>
      <c r="EOR34" s="707"/>
      <c r="EOS34" s="707"/>
      <c r="EOT34" s="707"/>
      <c r="EOU34" s="707"/>
      <c r="EOV34" s="707"/>
      <c r="EOW34" s="707"/>
      <c r="EOX34" s="707"/>
      <c r="EOY34" s="707"/>
      <c r="EOZ34" s="707"/>
      <c r="EPA34" s="707"/>
      <c r="EPB34" s="707"/>
      <c r="EPC34" s="707"/>
      <c r="EPD34" s="707"/>
      <c r="EPE34" s="707"/>
      <c r="EPF34" s="707"/>
      <c r="EPG34" s="707"/>
      <c r="EPH34" s="707"/>
      <c r="EPI34" s="707"/>
      <c r="EPJ34" s="707"/>
      <c r="EPK34" s="707"/>
      <c r="EPL34" s="707"/>
      <c r="EPM34" s="707"/>
      <c r="EPN34" s="707"/>
      <c r="EPO34" s="707"/>
      <c r="EPP34" s="707"/>
      <c r="EPQ34" s="707"/>
      <c r="EPR34" s="707"/>
      <c r="EPS34" s="707"/>
      <c r="EPT34" s="707"/>
      <c r="EPU34" s="707"/>
      <c r="EPV34" s="707"/>
      <c r="EPW34" s="707"/>
      <c r="EPX34" s="707"/>
      <c r="EPY34" s="707"/>
      <c r="EPZ34" s="707"/>
      <c r="EQA34" s="707"/>
      <c r="EQB34" s="707"/>
      <c r="EQC34" s="707"/>
      <c r="EQD34" s="707"/>
      <c r="EQE34" s="707"/>
      <c r="EQF34" s="707"/>
      <c r="EQG34" s="707"/>
      <c r="EQH34" s="707"/>
      <c r="EQI34" s="707"/>
      <c r="EQJ34" s="707"/>
      <c r="EQK34" s="707"/>
      <c r="EQL34" s="707"/>
      <c r="EQM34" s="707"/>
      <c r="EQN34" s="707"/>
      <c r="EQO34" s="707"/>
      <c r="EQP34" s="707"/>
      <c r="EQQ34" s="707"/>
      <c r="EQR34" s="707"/>
      <c r="EQS34" s="707"/>
      <c r="EQT34" s="707"/>
      <c r="EQU34" s="707"/>
      <c r="EQV34" s="707"/>
      <c r="EQW34" s="707"/>
      <c r="EQX34" s="707"/>
      <c r="EQY34" s="707"/>
      <c r="EQZ34" s="707"/>
      <c r="ERA34" s="707"/>
      <c r="ERB34" s="707"/>
      <c r="ERC34" s="707"/>
      <c r="ERD34" s="707"/>
      <c r="ERE34" s="707"/>
      <c r="ERF34" s="707"/>
      <c r="ERG34" s="707"/>
      <c r="ERH34" s="707"/>
      <c r="ERI34" s="707"/>
      <c r="ERJ34" s="707"/>
      <c r="ERK34" s="707"/>
      <c r="ERL34" s="707"/>
      <c r="ERM34" s="707"/>
      <c r="ERN34" s="707"/>
      <c r="ERO34" s="707"/>
      <c r="ERP34" s="707"/>
      <c r="ERQ34" s="707"/>
      <c r="ERR34" s="707"/>
      <c r="ERS34" s="707"/>
      <c r="ERT34" s="707"/>
      <c r="ERU34" s="707"/>
      <c r="ERV34" s="707"/>
      <c r="ERW34" s="707"/>
      <c r="ERX34" s="707"/>
      <c r="ERY34" s="707"/>
      <c r="ERZ34" s="707"/>
      <c r="ESA34" s="707"/>
      <c r="ESB34" s="707"/>
      <c r="ESC34" s="707"/>
      <c r="ESD34" s="707"/>
      <c r="ESE34" s="707"/>
      <c r="ESF34" s="707"/>
      <c r="ESG34" s="707"/>
      <c r="ESH34" s="707"/>
      <c r="ESI34" s="707"/>
      <c r="ESJ34" s="707"/>
      <c r="ESK34" s="707"/>
      <c r="ESL34" s="707"/>
      <c r="ESM34" s="707"/>
      <c r="ESN34" s="707"/>
      <c r="ESO34" s="707"/>
      <c r="ESP34" s="707"/>
      <c r="ESQ34" s="707"/>
      <c r="ESR34" s="707"/>
      <c r="ESS34" s="707"/>
      <c r="EST34" s="707"/>
      <c r="ESU34" s="707"/>
      <c r="ESV34" s="707"/>
      <c r="ESW34" s="707"/>
      <c r="ESX34" s="707"/>
      <c r="ESY34" s="707"/>
      <c r="ESZ34" s="707"/>
      <c r="ETA34" s="707"/>
      <c r="ETB34" s="707"/>
      <c r="ETC34" s="707"/>
      <c r="ETD34" s="707"/>
      <c r="ETE34" s="707"/>
      <c r="ETF34" s="707"/>
      <c r="ETG34" s="707"/>
      <c r="ETH34" s="707"/>
      <c r="ETI34" s="707"/>
      <c r="ETJ34" s="707"/>
      <c r="ETK34" s="707"/>
      <c r="ETL34" s="707"/>
      <c r="ETM34" s="707"/>
      <c r="ETN34" s="707"/>
      <c r="ETO34" s="707"/>
      <c r="ETP34" s="707"/>
      <c r="ETQ34" s="707"/>
      <c r="ETR34" s="707"/>
      <c r="ETS34" s="707"/>
      <c r="ETT34" s="707"/>
      <c r="ETU34" s="707"/>
      <c r="ETV34" s="707"/>
      <c r="ETW34" s="707"/>
      <c r="ETX34" s="707"/>
      <c r="ETY34" s="707"/>
      <c r="ETZ34" s="707"/>
      <c r="EUA34" s="707"/>
      <c r="EUB34" s="707"/>
      <c r="EUC34" s="707"/>
      <c r="EUD34" s="707"/>
      <c r="EUE34" s="707"/>
      <c r="EUF34" s="707"/>
      <c r="EUG34" s="707"/>
      <c r="EUH34" s="707"/>
      <c r="EUI34" s="707"/>
      <c r="EUJ34" s="707"/>
      <c r="EUK34" s="707"/>
      <c r="EUL34" s="707"/>
      <c r="EUM34" s="707"/>
      <c r="EUN34" s="707"/>
      <c r="EUO34" s="707"/>
      <c r="EUP34" s="707"/>
      <c r="EUQ34" s="707"/>
      <c r="EUR34" s="707"/>
      <c r="EUS34" s="707"/>
      <c r="EUT34" s="707"/>
      <c r="EUU34" s="707"/>
      <c r="EUV34" s="707"/>
      <c r="EUW34" s="707"/>
      <c r="EUX34" s="707"/>
      <c r="EUY34" s="707"/>
      <c r="EUZ34" s="707"/>
      <c r="EVA34" s="707"/>
      <c r="EVB34" s="707"/>
      <c r="EVC34" s="707"/>
      <c r="EVD34" s="707"/>
      <c r="EVE34" s="707"/>
      <c r="EVF34" s="707"/>
      <c r="EVG34" s="707"/>
      <c r="EVH34" s="707"/>
      <c r="EVI34" s="707"/>
      <c r="EVJ34" s="707"/>
      <c r="EVK34" s="707"/>
      <c r="EVL34" s="707"/>
      <c r="EVM34" s="707"/>
      <c r="EVN34" s="707"/>
      <c r="EVO34" s="707"/>
      <c r="EVP34" s="707"/>
      <c r="EVQ34" s="707"/>
      <c r="EVR34" s="707"/>
      <c r="EVS34" s="707"/>
      <c r="EVT34" s="707"/>
      <c r="EVU34" s="707"/>
      <c r="EVV34" s="707"/>
      <c r="EVW34" s="707"/>
      <c r="EVX34" s="707"/>
      <c r="EVY34" s="707"/>
      <c r="EVZ34" s="707"/>
      <c r="EWA34" s="707"/>
      <c r="EWB34" s="707"/>
      <c r="EWC34" s="707"/>
      <c r="EWD34" s="707"/>
      <c r="EWE34" s="707"/>
      <c r="EWF34" s="707"/>
      <c r="EWG34" s="707"/>
      <c r="EWH34" s="707"/>
      <c r="EWI34" s="707"/>
      <c r="EWJ34" s="707"/>
      <c r="EWK34" s="707"/>
      <c r="EWL34" s="707"/>
      <c r="EWM34" s="707"/>
      <c r="EWN34" s="707"/>
      <c r="EWO34" s="707"/>
      <c r="EWP34" s="707"/>
      <c r="EWQ34" s="707"/>
      <c r="EWR34" s="707"/>
      <c r="EWS34" s="707"/>
      <c r="EWT34" s="707"/>
      <c r="EWU34" s="707"/>
      <c r="EWV34" s="707"/>
      <c r="EWW34" s="707"/>
      <c r="EWX34" s="707"/>
      <c r="EWY34" s="707"/>
      <c r="EWZ34" s="707"/>
      <c r="EXA34" s="707"/>
      <c r="EXB34" s="707"/>
      <c r="EXC34" s="707"/>
      <c r="EXD34" s="707"/>
      <c r="EXE34" s="707"/>
      <c r="EXF34" s="707"/>
      <c r="EXG34" s="707"/>
      <c r="EXH34" s="707"/>
      <c r="EXI34" s="707"/>
      <c r="EXJ34" s="707"/>
      <c r="EXK34" s="707"/>
      <c r="EXL34" s="707"/>
      <c r="EXM34" s="707"/>
      <c r="EXN34" s="707"/>
      <c r="EXO34" s="707"/>
      <c r="EXP34" s="707"/>
      <c r="EXQ34" s="707"/>
      <c r="EXR34" s="707"/>
      <c r="EXS34" s="707"/>
      <c r="EXT34" s="707"/>
      <c r="EXU34" s="707"/>
      <c r="EXV34" s="707"/>
      <c r="EXW34" s="707"/>
      <c r="EXX34" s="707"/>
      <c r="EXY34" s="707"/>
      <c r="EXZ34" s="707"/>
      <c r="EYA34" s="707"/>
      <c r="EYB34" s="707"/>
      <c r="EYC34" s="707"/>
      <c r="EYD34" s="707"/>
      <c r="EYE34" s="707"/>
      <c r="EYF34" s="707"/>
      <c r="EYG34" s="707"/>
      <c r="EYH34" s="707"/>
      <c r="EYI34" s="707"/>
      <c r="EYJ34" s="707"/>
      <c r="EYK34" s="707"/>
      <c r="EYL34" s="707"/>
      <c r="EYM34" s="707"/>
      <c r="EYN34" s="707"/>
      <c r="EYO34" s="707"/>
      <c r="EYP34" s="707"/>
      <c r="EYQ34" s="707"/>
      <c r="EYR34" s="707"/>
      <c r="EYS34" s="707"/>
      <c r="EYT34" s="707"/>
      <c r="EYU34" s="707"/>
      <c r="EYV34" s="707"/>
      <c r="EYW34" s="707"/>
      <c r="EYX34" s="707"/>
      <c r="EYY34" s="707"/>
      <c r="EYZ34" s="707"/>
      <c r="EZA34" s="707"/>
      <c r="EZB34" s="707"/>
      <c r="EZC34" s="707"/>
      <c r="EZD34" s="707"/>
      <c r="EZE34" s="707"/>
      <c r="EZF34" s="707"/>
      <c r="EZG34" s="707"/>
      <c r="EZH34" s="707"/>
      <c r="EZI34" s="707"/>
      <c r="EZJ34" s="707"/>
      <c r="EZK34" s="707"/>
      <c r="EZL34" s="707"/>
      <c r="EZM34" s="707"/>
      <c r="EZN34" s="707"/>
      <c r="EZO34" s="707"/>
      <c r="EZP34" s="707"/>
      <c r="EZQ34" s="707"/>
      <c r="EZR34" s="707"/>
      <c r="EZS34" s="707"/>
      <c r="EZT34" s="707"/>
      <c r="EZU34" s="707"/>
      <c r="EZV34" s="707"/>
      <c r="EZW34" s="707"/>
      <c r="EZX34" s="707"/>
      <c r="EZY34" s="707"/>
      <c r="EZZ34" s="707"/>
      <c r="FAA34" s="707"/>
      <c r="FAB34" s="707"/>
      <c r="FAC34" s="707"/>
      <c r="FAD34" s="707"/>
      <c r="FAE34" s="707"/>
      <c r="FAF34" s="707"/>
      <c r="FAG34" s="707"/>
      <c r="FAH34" s="707"/>
      <c r="FAI34" s="707"/>
      <c r="FAJ34" s="707"/>
      <c r="FAK34" s="707"/>
      <c r="FAL34" s="707"/>
      <c r="FAM34" s="707"/>
      <c r="FAN34" s="707"/>
      <c r="FAO34" s="707"/>
      <c r="FAP34" s="707"/>
      <c r="FAQ34" s="707"/>
      <c r="FAR34" s="707"/>
      <c r="FAS34" s="707"/>
      <c r="FAT34" s="707"/>
      <c r="FAU34" s="707"/>
      <c r="FAV34" s="707"/>
      <c r="FAW34" s="707"/>
      <c r="FAX34" s="707"/>
      <c r="FAY34" s="707"/>
      <c r="FAZ34" s="707"/>
      <c r="FBA34" s="707"/>
      <c r="FBB34" s="707"/>
      <c r="FBC34" s="707"/>
      <c r="FBD34" s="707"/>
      <c r="FBE34" s="707"/>
      <c r="FBF34" s="707"/>
      <c r="FBG34" s="707"/>
      <c r="FBH34" s="707"/>
      <c r="FBI34" s="707"/>
      <c r="FBJ34" s="707"/>
      <c r="FBK34" s="707"/>
      <c r="FBL34" s="707"/>
      <c r="FBM34" s="707"/>
      <c r="FBN34" s="707"/>
      <c r="FBO34" s="707"/>
      <c r="FBP34" s="707"/>
      <c r="FBQ34" s="707"/>
      <c r="FBR34" s="707"/>
      <c r="FBS34" s="707"/>
      <c r="FBT34" s="707"/>
      <c r="FBU34" s="707"/>
      <c r="FBV34" s="707"/>
      <c r="FBW34" s="707"/>
      <c r="FBX34" s="707"/>
      <c r="FBY34" s="707"/>
      <c r="FBZ34" s="707"/>
      <c r="FCA34" s="707"/>
      <c r="FCB34" s="707"/>
      <c r="FCC34" s="707"/>
      <c r="FCD34" s="707"/>
      <c r="FCE34" s="707"/>
      <c r="FCF34" s="707"/>
      <c r="FCG34" s="707"/>
      <c r="FCH34" s="707"/>
      <c r="FCI34" s="707"/>
      <c r="FCJ34" s="707"/>
      <c r="FCK34" s="707"/>
      <c r="FCL34" s="707"/>
      <c r="FCM34" s="707"/>
      <c r="FCN34" s="707"/>
      <c r="FCO34" s="707"/>
      <c r="FCP34" s="707"/>
      <c r="FCQ34" s="707"/>
      <c r="FCR34" s="707"/>
      <c r="FCS34" s="707"/>
      <c r="FCT34" s="707"/>
      <c r="FCU34" s="707"/>
      <c r="FCV34" s="707"/>
      <c r="FCW34" s="707"/>
      <c r="FCX34" s="707"/>
      <c r="FCY34" s="707"/>
      <c r="FCZ34" s="707"/>
      <c r="FDA34" s="707"/>
      <c r="FDB34" s="707"/>
      <c r="FDC34" s="707"/>
      <c r="FDD34" s="707"/>
      <c r="FDE34" s="707"/>
      <c r="FDF34" s="707"/>
      <c r="FDG34" s="707"/>
      <c r="FDH34" s="707"/>
      <c r="FDI34" s="707"/>
      <c r="FDJ34" s="707"/>
      <c r="FDK34" s="707"/>
      <c r="FDL34" s="707"/>
      <c r="FDM34" s="707"/>
      <c r="FDN34" s="707"/>
      <c r="FDO34" s="707"/>
      <c r="FDP34" s="707"/>
      <c r="FDQ34" s="707"/>
      <c r="FDR34" s="707"/>
      <c r="FDS34" s="707"/>
      <c r="FDT34" s="707"/>
      <c r="FDU34" s="707"/>
      <c r="FDV34" s="707"/>
      <c r="FDW34" s="707"/>
      <c r="FDX34" s="707"/>
      <c r="FDY34" s="707"/>
      <c r="FDZ34" s="707"/>
      <c r="FEA34" s="707"/>
      <c r="FEB34" s="707"/>
      <c r="FEC34" s="707"/>
      <c r="FED34" s="707"/>
      <c r="FEE34" s="707"/>
      <c r="FEF34" s="707"/>
      <c r="FEG34" s="707"/>
      <c r="FEH34" s="707"/>
      <c r="FEI34" s="707"/>
      <c r="FEJ34" s="707"/>
      <c r="FEK34" s="707"/>
      <c r="FEL34" s="707"/>
      <c r="FEM34" s="707"/>
      <c r="FEN34" s="707"/>
      <c r="FEO34" s="707"/>
      <c r="FEP34" s="707"/>
      <c r="FEQ34" s="707"/>
      <c r="FER34" s="707"/>
      <c r="FES34" s="707"/>
      <c r="FET34" s="707"/>
      <c r="FEU34" s="707"/>
      <c r="FEV34" s="707"/>
      <c r="FEW34" s="707"/>
      <c r="FEX34" s="707"/>
      <c r="FEY34" s="707"/>
      <c r="FEZ34" s="707"/>
      <c r="FFA34" s="707"/>
      <c r="FFB34" s="707"/>
      <c r="FFC34" s="707"/>
      <c r="FFD34" s="707"/>
      <c r="FFE34" s="707"/>
      <c r="FFF34" s="707"/>
      <c r="FFG34" s="707"/>
      <c r="FFH34" s="707"/>
      <c r="FFI34" s="707"/>
      <c r="FFJ34" s="707"/>
      <c r="FFK34" s="707"/>
      <c r="FFL34" s="707"/>
      <c r="FFM34" s="707"/>
      <c r="FFN34" s="707"/>
      <c r="FFO34" s="707"/>
      <c r="FFP34" s="707"/>
      <c r="FFQ34" s="707"/>
      <c r="FFR34" s="707"/>
      <c r="FFS34" s="707"/>
      <c r="FFT34" s="707"/>
      <c r="FFU34" s="707"/>
      <c r="FFV34" s="707"/>
      <c r="FFW34" s="707"/>
      <c r="FFX34" s="707"/>
      <c r="FFY34" s="707"/>
      <c r="FFZ34" s="707"/>
      <c r="FGA34" s="707"/>
      <c r="FGB34" s="707"/>
      <c r="FGC34" s="707"/>
      <c r="FGD34" s="707"/>
      <c r="FGE34" s="707"/>
      <c r="FGF34" s="707"/>
      <c r="FGG34" s="707"/>
      <c r="FGH34" s="707"/>
      <c r="FGI34" s="707"/>
      <c r="FGJ34" s="707"/>
      <c r="FGK34" s="707"/>
      <c r="FGL34" s="707"/>
      <c r="FGM34" s="707"/>
      <c r="FGN34" s="707"/>
      <c r="FGO34" s="707"/>
      <c r="FGP34" s="707"/>
      <c r="FGQ34" s="707"/>
      <c r="FGR34" s="707"/>
      <c r="FGS34" s="707"/>
      <c r="FGT34" s="707"/>
      <c r="FGU34" s="707"/>
      <c r="FGV34" s="707"/>
      <c r="FGW34" s="707"/>
      <c r="FGX34" s="707"/>
      <c r="FGY34" s="707"/>
      <c r="FGZ34" s="707"/>
      <c r="FHA34" s="707"/>
      <c r="FHB34" s="707"/>
      <c r="FHC34" s="707"/>
      <c r="FHD34" s="707"/>
      <c r="FHE34" s="707"/>
      <c r="FHF34" s="707"/>
      <c r="FHG34" s="707"/>
      <c r="FHH34" s="707"/>
      <c r="FHI34" s="707"/>
      <c r="FHJ34" s="707"/>
      <c r="FHK34" s="707"/>
      <c r="FHL34" s="707"/>
      <c r="FHM34" s="707"/>
      <c r="FHN34" s="707"/>
      <c r="FHO34" s="707"/>
      <c r="FHP34" s="707"/>
      <c r="FHQ34" s="707"/>
      <c r="FHR34" s="707"/>
      <c r="FHS34" s="707"/>
      <c r="FHT34" s="707"/>
      <c r="FHU34" s="707"/>
      <c r="FHV34" s="707"/>
      <c r="FHW34" s="707"/>
      <c r="FHX34" s="707"/>
      <c r="FHY34" s="707"/>
      <c r="FHZ34" s="707"/>
      <c r="FIA34" s="707"/>
      <c r="FIB34" s="707"/>
      <c r="FIC34" s="707"/>
      <c r="FID34" s="707"/>
      <c r="FIE34" s="707"/>
      <c r="FIF34" s="707"/>
      <c r="FIG34" s="707"/>
      <c r="FIH34" s="707"/>
      <c r="FII34" s="707"/>
      <c r="FIJ34" s="707"/>
      <c r="FIK34" s="707"/>
      <c r="FIL34" s="707"/>
      <c r="FIM34" s="707"/>
      <c r="FIN34" s="707"/>
      <c r="FIO34" s="707"/>
      <c r="FIP34" s="707"/>
      <c r="FIQ34" s="707"/>
      <c r="FIR34" s="707"/>
      <c r="FIS34" s="707"/>
      <c r="FIT34" s="707"/>
      <c r="FIU34" s="707"/>
      <c r="FIV34" s="707"/>
      <c r="FIW34" s="707"/>
      <c r="FIX34" s="707"/>
      <c r="FIY34" s="707"/>
      <c r="FIZ34" s="707"/>
      <c r="FJA34" s="707"/>
      <c r="FJB34" s="707"/>
      <c r="FJC34" s="707"/>
      <c r="FJD34" s="707"/>
      <c r="FJE34" s="707"/>
      <c r="FJF34" s="707"/>
      <c r="FJG34" s="707"/>
      <c r="FJH34" s="707"/>
      <c r="FJI34" s="707"/>
      <c r="FJJ34" s="707"/>
      <c r="FJK34" s="707"/>
      <c r="FJL34" s="707"/>
      <c r="FJM34" s="707"/>
      <c r="FJN34" s="707"/>
      <c r="FJO34" s="707"/>
      <c r="FJP34" s="707"/>
      <c r="FJQ34" s="707"/>
      <c r="FJR34" s="707"/>
      <c r="FJS34" s="707"/>
      <c r="FJT34" s="707"/>
      <c r="FJU34" s="707"/>
      <c r="FJV34" s="707"/>
      <c r="FJW34" s="707"/>
      <c r="FJX34" s="707"/>
      <c r="FJY34" s="707"/>
      <c r="FJZ34" s="707"/>
      <c r="FKA34" s="707"/>
      <c r="FKB34" s="707"/>
      <c r="FKC34" s="707"/>
      <c r="FKD34" s="707"/>
      <c r="FKE34" s="707"/>
      <c r="FKF34" s="707"/>
      <c r="FKG34" s="707"/>
      <c r="FKH34" s="707"/>
      <c r="FKI34" s="707"/>
      <c r="FKJ34" s="707"/>
      <c r="FKK34" s="707"/>
      <c r="FKL34" s="707"/>
      <c r="FKM34" s="707"/>
      <c r="FKN34" s="707"/>
      <c r="FKO34" s="707"/>
      <c r="FKP34" s="707"/>
      <c r="FKQ34" s="707"/>
      <c r="FKR34" s="707"/>
      <c r="FKS34" s="707"/>
      <c r="FKT34" s="707"/>
      <c r="FKU34" s="707"/>
      <c r="FKV34" s="707"/>
      <c r="FKW34" s="707"/>
      <c r="FKX34" s="707"/>
      <c r="FKY34" s="707"/>
      <c r="FKZ34" s="707"/>
      <c r="FLA34" s="707"/>
      <c r="FLB34" s="707"/>
      <c r="FLC34" s="707"/>
      <c r="FLD34" s="707"/>
      <c r="FLE34" s="707"/>
      <c r="FLF34" s="707"/>
      <c r="FLG34" s="707"/>
      <c r="FLH34" s="707"/>
      <c r="FLI34" s="707"/>
      <c r="FLJ34" s="707"/>
      <c r="FLK34" s="707"/>
      <c r="FLL34" s="707"/>
      <c r="FLM34" s="707"/>
      <c r="FLN34" s="707"/>
      <c r="FLO34" s="707"/>
      <c r="FLP34" s="707"/>
      <c r="FLQ34" s="707"/>
      <c r="FLR34" s="707"/>
      <c r="FLS34" s="707"/>
      <c r="FLT34" s="707"/>
      <c r="FLU34" s="707"/>
      <c r="FLV34" s="707"/>
      <c r="FLW34" s="707"/>
      <c r="FLX34" s="707"/>
      <c r="FLY34" s="707"/>
      <c r="FLZ34" s="707"/>
      <c r="FMA34" s="707"/>
      <c r="FMB34" s="707"/>
      <c r="FMC34" s="707"/>
      <c r="FMD34" s="707"/>
      <c r="FME34" s="707"/>
      <c r="FMF34" s="707"/>
      <c r="FMG34" s="707"/>
      <c r="FMH34" s="707"/>
      <c r="FMI34" s="707"/>
      <c r="FMJ34" s="707"/>
      <c r="FMK34" s="707"/>
      <c r="FML34" s="707"/>
      <c r="FMM34" s="707"/>
      <c r="FMN34" s="707"/>
      <c r="FMO34" s="707"/>
      <c r="FMP34" s="707"/>
      <c r="FMQ34" s="707"/>
      <c r="FMR34" s="707"/>
      <c r="FMS34" s="707"/>
      <c r="FMT34" s="707"/>
      <c r="FMU34" s="707"/>
      <c r="FMV34" s="707"/>
      <c r="FMW34" s="707"/>
      <c r="FMX34" s="707"/>
      <c r="FMY34" s="707"/>
      <c r="FMZ34" s="707"/>
      <c r="FNA34" s="707"/>
      <c r="FNB34" s="707"/>
      <c r="FNC34" s="707"/>
      <c r="FND34" s="707"/>
      <c r="FNE34" s="707"/>
      <c r="FNF34" s="707"/>
      <c r="FNG34" s="707"/>
      <c r="FNH34" s="707"/>
      <c r="FNI34" s="707"/>
      <c r="FNJ34" s="707"/>
      <c r="FNK34" s="707"/>
      <c r="FNL34" s="707"/>
      <c r="FNM34" s="707"/>
      <c r="FNN34" s="707"/>
      <c r="FNO34" s="707"/>
      <c r="FNP34" s="707"/>
      <c r="FNQ34" s="707"/>
      <c r="FNR34" s="707"/>
      <c r="FNS34" s="707"/>
      <c r="FNT34" s="707"/>
      <c r="FNU34" s="707"/>
      <c r="FNV34" s="707"/>
      <c r="FNW34" s="707"/>
      <c r="FNX34" s="707"/>
      <c r="FNY34" s="707"/>
      <c r="FNZ34" s="707"/>
      <c r="FOA34" s="707"/>
      <c r="FOB34" s="707"/>
      <c r="FOC34" s="707"/>
      <c r="FOD34" s="707"/>
      <c r="FOE34" s="707"/>
      <c r="FOF34" s="707"/>
      <c r="FOG34" s="707"/>
      <c r="FOH34" s="707"/>
      <c r="FOI34" s="707"/>
      <c r="FOJ34" s="707"/>
      <c r="FOK34" s="707"/>
      <c r="FOL34" s="707"/>
      <c r="FOM34" s="707"/>
      <c r="FON34" s="707"/>
      <c r="FOO34" s="707"/>
      <c r="FOP34" s="707"/>
      <c r="FOQ34" s="707"/>
      <c r="FOR34" s="707"/>
      <c r="FOS34" s="707"/>
      <c r="FOT34" s="707"/>
      <c r="FOU34" s="707"/>
      <c r="FOV34" s="707"/>
      <c r="FOW34" s="707"/>
      <c r="FOX34" s="707"/>
      <c r="FOY34" s="707"/>
      <c r="FOZ34" s="707"/>
      <c r="FPA34" s="707"/>
      <c r="FPB34" s="707"/>
      <c r="FPC34" s="707"/>
      <c r="FPD34" s="707"/>
      <c r="FPE34" s="707"/>
      <c r="FPF34" s="707"/>
      <c r="FPG34" s="707"/>
      <c r="FPH34" s="707"/>
      <c r="FPI34" s="707"/>
      <c r="FPJ34" s="707"/>
      <c r="FPK34" s="707"/>
      <c r="FPL34" s="707"/>
      <c r="FPM34" s="707"/>
      <c r="FPN34" s="707"/>
      <c r="FPO34" s="707"/>
      <c r="FPP34" s="707"/>
      <c r="FPQ34" s="707"/>
      <c r="FPR34" s="707"/>
      <c r="FPS34" s="707"/>
      <c r="FPT34" s="707"/>
      <c r="FPU34" s="707"/>
      <c r="FPV34" s="707"/>
      <c r="FPW34" s="707"/>
      <c r="FPX34" s="707"/>
      <c r="FPY34" s="707"/>
      <c r="FPZ34" s="707"/>
      <c r="FQA34" s="707"/>
      <c r="FQB34" s="707"/>
      <c r="FQC34" s="707"/>
      <c r="FQD34" s="707"/>
      <c r="FQE34" s="707"/>
      <c r="FQF34" s="707"/>
      <c r="FQG34" s="707"/>
      <c r="FQH34" s="707"/>
      <c r="FQI34" s="707"/>
      <c r="FQJ34" s="707"/>
      <c r="FQK34" s="707"/>
      <c r="FQL34" s="707"/>
      <c r="FQM34" s="707"/>
      <c r="FQN34" s="707"/>
      <c r="FQO34" s="707"/>
      <c r="FQP34" s="707"/>
      <c r="FQQ34" s="707"/>
      <c r="FQR34" s="707"/>
      <c r="FQS34" s="707"/>
      <c r="FQT34" s="707"/>
      <c r="FQU34" s="707"/>
      <c r="FQV34" s="707"/>
      <c r="FQW34" s="707"/>
      <c r="FQX34" s="707"/>
      <c r="FQY34" s="707"/>
      <c r="FQZ34" s="707"/>
      <c r="FRA34" s="707"/>
      <c r="FRB34" s="707"/>
      <c r="FRC34" s="707"/>
      <c r="FRD34" s="707"/>
      <c r="FRE34" s="707"/>
      <c r="FRF34" s="707"/>
      <c r="FRG34" s="707"/>
      <c r="FRH34" s="707"/>
      <c r="FRI34" s="707"/>
      <c r="FRJ34" s="707"/>
      <c r="FRK34" s="707"/>
      <c r="FRL34" s="707"/>
      <c r="FRM34" s="707"/>
      <c r="FRN34" s="707"/>
      <c r="FRO34" s="707"/>
      <c r="FRP34" s="707"/>
      <c r="FRQ34" s="707"/>
      <c r="FRR34" s="707"/>
      <c r="FRS34" s="707"/>
      <c r="FRT34" s="707"/>
      <c r="FRU34" s="707"/>
      <c r="FRV34" s="707"/>
      <c r="FRW34" s="707"/>
      <c r="FRX34" s="707"/>
      <c r="FRY34" s="707"/>
      <c r="FRZ34" s="707"/>
      <c r="FSA34" s="707"/>
      <c r="FSB34" s="707"/>
      <c r="FSC34" s="707"/>
      <c r="FSD34" s="707"/>
      <c r="FSE34" s="707"/>
      <c r="FSF34" s="707"/>
      <c r="FSG34" s="707"/>
      <c r="FSH34" s="707"/>
      <c r="FSI34" s="707"/>
      <c r="FSJ34" s="707"/>
      <c r="FSK34" s="707"/>
      <c r="FSL34" s="707"/>
      <c r="FSM34" s="707"/>
      <c r="FSN34" s="707"/>
      <c r="FSO34" s="707"/>
      <c r="FSP34" s="707"/>
      <c r="FSQ34" s="707"/>
      <c r="FSR34" s="707"/>
      <c r="FSS34" s="707"/>
      <c r="FST34" s="707"/>
      <c r="FSU34" s="707"/>
      <c r="FSV34" s="707"/>
      <c r="FSW34" s="707"/>
      <c r="FSX34" s="707"/>
      <c r="FSY34" s="707"/>
      <c r="FSZ34" s="707"/>
      <c r="FTA34" s="707"/>
      <c r="FTB34" s="707"/>
      <c r="FTC34" s="707"/>
      <c r="FTD34" s="707"/>
      <c r="FTE34" s="707"/>
      <c r="FTF34" s="707"/>
      <c r="FTG34" s="707"/>
      <c r="FTH34" s="707"/>
      <c r="FTI34" s="707"/>
      <c r="FTJ34" s="707"/>
      <c r="FTK34" s="707"/>
      <c r="FTL34" s="707"/>
      <c r="FTM34" s="707"/>
      <c r="FTN34" s="707"/>
      <c r="FTO34" s="707"/>
      <c r="FTP34" s="707"/>
      <c r="FTQ34" s="707"/>
      <c r="FTR34" s="707"/>
      <c r="FTS34" s="707"/>
      <c r="FTT34" s="707"/>
      <c r="FTU34" s="707"/>
      <c r="FTV34" s="707"/>
      <c r="FTW34" s="707"/>
      <c r="FTX34" s="707"/>
      <c r="FTY34" s="707"/>
      <c r="FTZ34" s="707"/>
      <c r="FUA34" s="707"/>
      <c r="FUB34" s="707"/>
      <c r="FUC34" s="707"/>
      <c r="FUD34" s="707"/>
      <c r="FUE34" s="707"/>
      <c r="FUF34" s="707"/>
      <c r="FUG34" s="707"/>
      <c r="FUH34" s="707"/>
      <c r="FUI34" s="707"/>
      <c r="FUJ34" s="707"/>
      <c r="FUK34" s="707"/>
      <c r="FUL34" s="707"/>
      <c r="FUM34" s="707"/>
      <c r="FUN34" s="707"/>
      <c r="FUO34" s="707"/>
      <c r="FUP34" s="707"/>
      <c r="FUQ34" s="707"/>
      <c r="FUR34" s="707"/>
      <c r="FUS34" s="707"/>
      <c r="FUT34" s="707"/>
      <c r="FUU34" s="707"/>
      <c r="FUV34" s="707"/>
      <c r="FUW34" s="707"/>
      <c r="FUX34" s="707"/>
      <c r="FUY34" s="707"/>
      <c r="FUZ34" s="707"/>
      <c r="FVA34" s="707"/>
      <c r="FVB34" s="707"/>
      <c r="FVC34" s="707"/>
      <c r="FVD34" s="707"/>
      <c r="FVE34" s="707"/>
      <c r="FVF34" s="707"/>
      <c r="FVG34" s="707"/>
      <c r="FVH34" s="707"/>
      <c r="FVI34" s="707"/>
      <c r="FVJ34" s="707"/>
      <c r="FVK34" s="707"/>
      <c r="FVL34" s="707"/>
      <c r="FVM34" s="707"/>
      <c r="FVN34" s="707"/>
      <c r="FVO34" s="707"/>
      <c r="FVP34" s="707"/>
      <c r="FVQ34" s="707"/>
      <c r="FVR34" s="707"/>
      <c r="FVS34" s="707"/>
      <c r="FVT34" s="707"/>
      <c r="FVU34" s="707"/>
      <c r="FVV34" s="707"/>
      <c r="FVW34" s="707"/>
      <c r="FVX34" s="707"/>
      <c r="FVY34" s="707"/>
      <c r="FVZ34" s="707"/>
      <c r="FWA34" s="707"/>
      <c r="FWB34" s="707"/>
      <c r="FWC34" s="707"/>
      <c r="FWD34" s="707"/>
      <c r="FWE34" s="707"/>
      <c r="FWF34" s="707"/>
      <c r="FWG34" s="707"/>
      <c r="FWH34" s="707"/>
      <c r="FWI34" s="707"/>
      <c r="FWJ34" s="707"/>
      <c r="FWK34" s="707"/>
      <c r="FWL34" s="707"/>
      <c r="FWM34" s="707"/>
      <c r="FWN34" s="707"/>
      <c r="FWO34" s="707"/>
      <c r="FWP34" s="707"/>
      <c r="FWQ34" s="707"/>
      <c r="FWR34" s="707"/>
      <c r="FWS34" s="707"/>
      <c r="FWT34" s="707"/>
      <c r="FWU34" s="707"/>
      <c r="FWV34" s="707"/>
      <c r="FWW34" s="707"/>
      <c r="FWX34" s="707"/>
      <c r="FWY34" s="707"/>
      <c r="FWZ34" s="707"/>
      <c r="FXA34" s="707"/>
      <c r="FXB34" s="707"/>
      <c r="FXC34" s="707"/>
      <c r="FXD34" s="707"/>
      <c r="FXE34" s="707"/>
      <c r="FXF34" s="707"/>
      <c r="FXG34" s="707"/>
      <c r="FXH34" s="707"/>
      <c r="FXI34" s="707"/>
      <c r="FXJ34" s="707"/>
      <c r="FXK34" s="707"/>
      <c r="FXL34" s="707"/>
      <c r="FXM34" s="707"/>
      <c r="FXN34" s="707"/>
      <c r="FXO34" s="707"/>
      <c r="FXP34" s="707"/>
      <c r="FXQ34" s="707"/>
      <c r="FXR34" s="707"/>
      <c r="FXS34" s="707"/>
      <c r="FXT34" s="707"/>
      <c r="FXU34" s="707"/>
      <c r="FXV34" s="707"/>
      <c r="FXW34" s="707"/>
      <c r="FXX34" s="707"/>
      <c r="FXY34" s="707"/>
      <c r="FXZ34" s="707"/>
      <c r="FYA34" s="707"/>
      <c r="FYB34" s="707"/>
      <c r="FYC34" s="707"/>
      <c r="FYD34" s="707"/>
      <c r="FYE34" s="707"/>
      <c r="FYF34" s="707"/>
      <c r="FYG34" s="707"/>
      <c r="FYH34" s="707"/>
      <c r="FYI34" s="707"/>
      <c r="FYJ34" s="707"/>
      <c r="FYK34" s="707"/>
      <c r="FYL34" s="707"/>
      <c r="FYM34" s="707"/>
      <c r="FYN34" s="707"/>
      <c r="FYO34" s="707"/>
      <c r="FYP34" s="707"/>
      <c r="FYQ34" s="707"/>
      <c r="FYR34" s="707"/>
      <c r="FYS34" s="707"/>
      <c r="FYT34" s="707"/>
      <c r="FYU34" s="707"/>
      <c r="FYV34" s="707"/>
      <c r="FYW34" s="707"/>
      <c r="FYX34" s="707"/>
      <c r="FYY34" s="707"/>
      <c r="FYZ34" s="707"/>
      <c r="FZA34" s="707"/>
      <c r="FZB34" s="707"/>
      <c r="FZC34" s="707"/>
      <c r="FZD34" s="707"/>
      <c r="FZE34" s="707"/>
      <c r="FZF34" s="707"/>
      <c r="FZG34" s="707"/>
      <c r="FZH34" s="707"/>
      <c r="FZI34" s="707"/>
      <c r="FZJ34" s="707"/>
      <c r="FZK34" s="707"/>
      <c r="FZL34" s="707"/>
      <c r="FZM34" s="707"/>
      <c r="FZN34" s="707"/>
      <c r="FZO34" s="707"/>
      <c r="FZP34" s="707"/>
      <c r="FZQ34" s="707"/>
      <c r="FZR34" s="707"/>
      <c r="FZS34" s="707"/>
      <c r="FZT34" s="707"/>
      <c r="FZU34" s="707"/>
      <c r="FZV34" s="707"/>
      <c r="FZW34" s="707"/>
      <c r="FZX34" s="707"/>
      <c r="FZY34" s="707"/>
      <c r="FZZ34" s="707"/>
      <c r="GAA34" s="707"/>
      <c r="GAB34" s="707"/>
      <c r="GAC34" s="707"/>
      <c r="GAD34" s="707"/>
      <c r="GAE34" s="707"/>
      <c r="GAF34" s="707"/>
      <c r="GAG34" s="707"/>
      <c r="GAH34" s="707"/>
      <c r="GAI34" s="707"/>
      <c r="GAJ34" s="707"/>
      <c r="GAK34" s="707"/>
      <c r="GAL34" s="707"/>
      <c r="GAM34" s="707"/>
      <c r="GAN34" s="707"/>
      <c r="GAO34" s="707"/>
      <c r="GAP34" s="707"/>
      <c r="GAQ34" s="707"/>
      <c r="GAR34" s="707"/>
      <c r="GAS34" s="707"/>
      <c r="GAT34" s="707"/>
      <c r="GAU34" s="707"/>
      <c r="GAV34" s="707"/>
      <c r="GAW34" s="707"/>
      <c r="GAX34" s="707"/>
      <c r="GAY34" s="707"/>
      <c r="GAZ34" s="707"/>
      <c r="GBA34" s="707"/>
      <c r="GBB34" s="707"/>
      <c r="GBC34" s="707"/>
      <c r="GBD34" s="707"/>
      <c r="GBE34" s="707"/>
      <c r="GBF34" s="707"/>
      <c r="GBG34" s="707"/>
      <c r="GBH34" s="707"/>
      <c r="GBI34" s="707"/>
      <c r="GBJ34" s="707"/>
      <c r="GBK34" s="707"/>
      <c r="GBL34" s="707"/>
      <c r="GBM34" s="707"/>
      <c r="GBN34" s="707"/>
      <c r="GBO34" s="707"/>
      <c r="GBP34" s="707"/>
      <c r="GBQ34" s="707"/>
      <c r="GBR34" s="707"/>
      <c r="GBS34" s="707"/>
      <c r="GBT34" s="707"/>
      <c r="GBU34" s="707"/>
      <c r="GBV34" s="707"/>
      <c r="GBW34" s="707"/>
      <c r="GBX34" s="707"/>
      <c r="GBY34" s="707"/>
      <c r="GBZ34" s="707"/>
      <c r="GCA34" s="707"/>
      <c r="GCB34" s="707"/>
      <c r="GCC34" s="707"/>
      <c r="GCD34" s="707"/>
      <c r="GCE34" s="707"/>
      <c r="GCF34" s="707"/>
      <c r="GCG34" s="707"/>
      <c r="GCH34" s="707"/>
      <c r="GCI34" s="707"/>
      <c r="GCJ34" s="707"/>
      <c r="GCK34" s="707"/>
      <c r="GCL34" s="707"/>
      <c r="GCM34" s="707"/>
      <c r="GCN34" s="707"/>
      <c r="GCO34" s="707"/>
      <c r="GCP34" s="707"/>
      <c r="GCQ34" s="707"/>
      <c r="GCR34" s="707"/>
      <c r="GCS34" s="707"/>
      <c r="GCT34" s="707"/>
      <c r="GCU34" s="707"/>
      <c r="GCV34" s="707"/>
      <c r="GCW34" s="707"/>
      <c r="GCX34" s="707"/>
      <c r="GCY34" s="707"/>
      <c r="GCZ34" s="707"/>
      <c r="GDA34" s="707"/>
      <c r="GDB34" s="707"/>
      <c r="GDC34" s="707"/>
      <c r="GDD34" s="707"/>
      <c r="GDE34" s="707"/>
      <c r="GDF34" s="707"/>
      <c r="GDG34" s="707"/>
      <c r="GDH34" s="707"/>
      <c r="GDI34" s="707"/>
      <c r="GDJ34" s="707"/>
      <c r="GDK34" s="707"/>
      <c r="GDL34" s="707"/>
      <c r="GDM34" s="707"/>
      <c r="GDN34" s="707"/>
      <c r="GDO34" s="707"/>
      <c r="GDP34" s="707"/>
      <c r="GDQ34" s="707"/>
      <c r="GDR34" s="707"/>
      <c r="GDS34" s="707"/>
      <c r="GDT34" s="707"/>
      <c r="GDU34" s="707"/>
      <c r="GDV34" s="707"/>
      <c r="GDW34" s="707"/>
      <c r="GDX34" s="707"/>
      <c r="GDY34" s="707"/>
      <c r="GDZ34" s="707"/>
      <c r="GEA34" s="707"/>
      <c r="GEB34" s="707"/>
      <c r="GEC34" s="707"/>
      <c r="GED34" s="707"/>
      <c r="GEE34" s="707"/>
      <c r="GEF34" s="707"/>
      <c r="GEG34" s="707"/>
      <c r="GEH34" s="707"/>
      <c r="GEI34" s="707"/>
      <c r="GEJ34" s="707"/>
      <c r="GEK34" s="707"/>
      <c r="GEL34" s="707"/>
      <c r="GEM34" s="707"/>
      <c r="GEN34" s="707"/>
      <c r="GEO34" s="707"/>
      <c r="GEP34" s="707"/>
      <c r="GEQ34" s="707"/>
      <c r="GER34" s="707"/>
      <c r="GES34" s="707"/>
      <c r="GET34" s="707"/>
      <c r="GEU34" s="707"/>
      <c r="GEV34" s="707"/>
      <c r="GEW34" s="707"/>
      <c r="GEX34" s="707"/>
      <c r="GEY34" s="707"/>
      <c r="GEZ34" s="707"/>
      <c r="GFA34" s="707"/>
      <c r="GFB34" s="707"/>
      <c r="GFC34" s="707"/>
      <c r="GFD34" s="707"/>
      <c r="GFE34" s="707"/>
      <c r="GFF34" s="707"/>
      <c r="GFG34" s="707"/>
      <c r="GFH34" s="707"/>
      <c r="GFI34" s="707"/>
      <c r="GFJ34" s="707"/>
      <c r="GFK34" s="707"/>
      <c r="GFL34" s="707"/>
      <c r="GFM34" s="707"/>
      <c r="GFN34" s="707"/>
      <c r="GFO34" s="707"/>
      <c r="GFP34" s="707"/>
      <c r="GFQ34" s="707"/>
      <c r="GFR34" s="707"/>
      <c r="GFS34" s="707"/>
      <c r="GFT34" s="707"/>
      <c r="GFU34" s="707"/>
      <c r="GFV34" s="707"/>
      <c r="GFW34" s="707"/>
      <c r="GFX34" s="707"/>
      <c r="GFY34" s="707"/>
      <c r="GFZ34" s="707"/>
      <c r="GGA34" s="707"/>
      <c r="GGB34" s="707"/>
      <c r="GGC34" s="707"/>
      <c r="GGD34" s="707"/>
      <c r="GGE34" s="707"/>
      <c r="GGF34" s="707"/>
      <c r="GGG34" s="707"/>
      <c r="GGH34" s="707"/>
      <c r="GGI34" s="707"/>
      <c r="GGJ34" s="707"/>
      <c r="GGK34" s="707"/>
      <c r="GGL34" s="707"/>
      <c r="GGM34" s="707"/>
      <c r="GGN34" s="707"/>
      <c r="GGO34" s="707"/>
      <c r="GGP34" s="707"/>
      <c r="GGQ34" s="707"/>
      <c r="GGR34" s="707"/>
      <c r="GGS34" s="707"/>
      <c r="GGT34" s="707"/>
      <c r="GGU34" s="707"/>
      <c r="GGV34" s="707"/>
      <c r="GGW34" s="707"/>
      <c r="GGX34" s="707"/>
      <c r="GGY34" s="707"/>
      <c r="GGZ34" s="707"/>
      <c r="GHA34" s="707"/>
      <c r="GHB34" s="707"/>
      <c r="GHC34" s="707"/>
      <c r="GHD34" s="707"/>
      <c r="GHE34" s="707"/>
      <c r="GHF34" s="707"/>
      <c r="GHG34" s="707"/>
      <c r="GHH34" s="707"/>
      <c r="GHI34" s="707"/>
      <c r="GHJ34" s="707"/>
      <c r="GHK34" s="707"/>
      <c r="GHL34" s="707"/>
      <c r="GHM34" s="707"/>
      <c r="GHN34" s="707"/>
      <c r="GHO34" s="707"/>
      <c r="GHP34" s="707"/>
      <c r="GHQ34" s="707"/>
      <c r="GHR34" s="707"/>
      <c r="GHS34" s="707"/>
      <c r="GHT34" s="707"/>
      <c r="GHU34" s="707"/>
      <c r="GHV34" s="707"/>
      <c r="GHW34" s="707"/>
      <c r="GHX34" s="707"/>
      <c r="GHY34" s="707"/>
      <c r="GHZ34" s="707"/>
      <c r="GIA34" s="707"/>
      <c r="GIB34" s="707"/>
      <c r="GIC34" s="707"/>
      <c r="GID34" s="707"/>
      <c r="GIE34" s="707"/>
      <c r="GIF34" s="707"/>
      <c r="GIG34" s="707"/>
      <c r="GIH34" s="707"/>
      <c r="GII34" s="707"/>
      <c r="GIJ34" s="707"/>
      <c r="GIK34" s="707"/>
      <c r="GIL34" s="707"/>
      <c r="GIM34" s="707"/>
      <c r="GIN34" s="707"/>
      <c r="GIO34" s="707"/>
      <c r="GIP34" s="707"/>
      <c r="GIQ34" s="707"/>
      <c r="GIR34" s="707"/>
      <c r="GIS34" s="707"/>
      <c r="GIT34" s="707"/>
      <c r="GIU34" s="707"/>
      <c r="GIV34" s="707"/>
      <c r="GIW34" s="707"/>
      <c r="GIX34" s="707"/>
      <c r="GIY34" s="707"/>
      <c r="GIZ34" s="707"/>
      <c r="GJA34" s="707"/>
      <c r="GJB34" s="707"/>
      <c r="GJC34" s="707"/>
      <c r="GJD34" s="707"/>
      <c r="GJE34" s="707"/>
      <c r="GJF34" s="707"/>
      <c r="GJG34" s="707"/>
      <c r="GJH34" s="707"/>
      <c r="GJI34" s="707"/>
      <c r="GJJ34" s="707"/>
      <c r="GJK34" s="707"/>
      <c r="GJL34" s="707"/>
      <c r="GJM34" s="707"/>
      <c r="GJN34" s="707"/>
      <c r="GJO34" s="707"/>
      <c r="GJP34" s="707"/>
      <c r="GJQ34" s="707"/>
      <c r="GJR34" s="707"/>
      <c r="GJS34" s="707"/>
      <c r="GJT34" s="707"/>
      <c r="GJU34" s="707"/>
      <c r="GJV34" s="707"/>
      <c r="GJW34" s="707"/>
      <c r="GJX34" s="707"/>
      <c r="GJY34" s="707"/>
      <c r="GJZ34" s="707"/>
      <c r="GKA34" s="707"/>
      <c r="GKB34" s="707"/>
      <c r="GKC34" s="707"/>
      <c r="GKD34" s="707"/>
      <c r="GKE34" s="707"/>
      <c r="GKF34" s="707"/>
      <c r="GKG34" s="707"/>
      <c r="GKH34" s="707"/>
      <c r="GKI34" s="707"/>
      <c r="GKJ34" s="707"/>
      <c r="GKK34" s="707"/>
      <c r="GKL34" s="707"/>
      <c r="GKM34" s="707"/>
      <c r="GKN34" s="707"/>
      <c r="GKO34" s="707"/>
      <c r="GKP34" s="707"/>
      <c r="GKQ34" s="707"/>
      <c r="GKR34" s="707"/>
      <c r="GKS34" s="707"/>
      <c r="GKT34" s="707"/>
      <c r="GKU34" s="707"/>
      <c r="GKV34" s="707"/>
      <c r="GKW34" s="707"/>
      <c r="GKX34" s="707"/>
      <c r="GKY34" s="707"/>
      <c r="GKZ34" s="707"/>
      <c r="GLA34" s="707"/>
      <c r="GLB34" s="707"/>
      <c r="GLC34" s="707"/>
      <c r="GLD34" s="707"/>
      <c r="GLE34" s="707"/>
      <c r="GLF34" s="707"/>
      <c r="GLG34" s="707"/>
      <c r="GLH34" s="707"/>
      <c r="GLI34" s="707"/>
      <c r="GLJ34" s="707"/>
      <c r="GLK34" s="707"/>
      <c r="GLL34" s="707"/>
      <c r="GLM34" s="707"/>
      <c r="GLN34" s="707"/>
      <c r="GLO34" s="707"/>
      <c r="GLP34" s="707"/>
      <c r="GLQ34" s="707"/>
      <c r="GLR34" s="707"/>
      <c r="GLS34" s="707"/>
      <c r="GLT34" s="707"/>
      <c r="GLU34" s="707"/>
      <c r="GLV34" s="707"/>
      <c r="GLW34" s="707"/>
      <c r="GLX34" s="707"/>
      <c r="GLY34" s="707"/>
      <c r="GLZ34" s="707"/>
      <c r="GMA34" s="707"/>
      <c r="GMB34" s="707"/>
      <c r="GMC34" s="707"/>
      <c r="GMD34" s="707"/>
      <c r="GME34" s="707"/>
      <c r="GMF34" s="707"/>
      <c r="GMG34" s="707"/>
      <c r="GMH34" s="707"/>
      <c r="GMI34" s="707"/>
      <c r="GMJ34" s="707"/>
      <c r="GMK34" s="707"/>
      <c r="GML34" s="707"/>
      <c r="GMM34" s="707"/>
      <c r="GMN34" s="707"/>
      <c r="GMO34" s="707"/>
      <c r="GMP34" s="707"/>
      <c r="GMQ34" s="707"/>
      <c r="GMR34" s="707"/>
      <c r="GMS34" s="707"/>
      <c r="GMT34" s="707"/>
      <c r="GMU34" s="707"/>
      <c r="GMV34" s="707"/>
      <c r="GMW34" s="707"/>
      <c r="GMX34" s="707"/>
      <c r="GMY34" s="707"/>
      <c r="GMZ34" s="707"/>
      <c r="GNA34" s="707"/>
      <c r="GNB34" s="707"/>
      <c r="GNC34" s="707"/>
      <c r="GND34" s="707"/>
      <c r="GNE34" s="707"/>
      <c r="GNF34" s="707"/>
      <c r="GNG34" s="707"/>
      <c r="GNH34" s="707"/>
      <c r="GNI34" s="707"/>
      <c r="GNJ34" s="707"/>
      <c r="GNK34" s="707"/>
      <c r="GNL34" s="707"/>
      <c r="GNM34" s="707"/>
      <c r="GNN34" s="707"/>
      <c r="GNO34" s="707"/>
      <c r="GNP34" s="707"/>
      <c r="GNQ34" s="707"/>
      <c r="GNR34" s="707"/>
      <c r="GNS34" s="707"/>
      <c r="GNT34" s="707"/>
      <c r="GNU34" s="707"/>
      <c r="GNV34" s="707"/>
      <c r="GNW34" s="707"/>
      <c r="GNX34" s="707"/>
      <c r="GNY34" s="707"/>
      <c r="GNZ34" s="707"/>
      <c r="GOA34" s="707"/>
      <c r="GOB34" s="707"/>
      <c r="GOC34" s="707"/>
      <c r="GOD34" s="707"/>
      <c r="GOE34" s="707"/>
      <c r="GOF34" s="707"/>
      <c r="GOG34" s="707"/>
      <c r="GOH34" s="707"/>
      <c r="GOI34" s="707"/>
      <c r="GOJ34" s="707"/>
      <c r="GOK34" s="707"/>
      <c r="GOL34" s="707"/>
      <c r="GOM34" s="707"/>
      <c r="GON34" s="707"/>
      <c r="GOO34" s="707"/>
      <c r="GOP34" s="707"/>
      <c r="GOQ34" s="707"/>
      <c r="GOR34" s="707"/>
      <c r="GOS34" s="707"/>
      <c r="GOT34" s="707"/>
      <c r="GOU34" s="707"/>
      <c r="GOV34" s="707"/>
      <c r="GOW34" s="707"/>
      <c r="GOX34" s="707"/>
      <c r="GOY34" s="707"/>
      <c r="GOZ34" s="707"/>
      <c r="GPA34" s="707"/>
      <c r="GPB34" s="707"/>
      <c r="GPC34" s="707"/>
      <c r="GPD34" s="707"/>
      <c r="GPE34" s="707"/>
      <c r="GPF34" s="707"/>
      <c r="GPG34" s="707"/>
      <c r="GPH34" s="707"/>
      <c r="GPI34" s="707"/>
      <c r="GPJ34" s="707"/>
      <c r="GPK34" s="707"/>
      <c r="GPL34" s="707"/>
      <c r="GPM34" s="707"/>
      <c r="GPN34" s="707"/>
      <c r="GPO34" s="707"/>
      <c r="GPP34" s="707"/>
      <c r="GPQ34" s="707"/>
      <c r="GPR34" s="707"/>
      <c r="GPS34" s="707"/>
      <c r="GPT34" s="707"/>
      <c r="GPU34" s="707"/>
      <c r="GPV34" s="707"/>
      <c r="GPW34" s="707"/>
      <c r="GPX34" s="707"/>
      <c r="GPY34" s="707"/>
      <c r="GPZ34" s="707"/>
      <c r="GQA34" s="707"/>
      <c r="GQB34" s="707"/>
      <c r="GQC34" s="707"/>
      <c r="GQD34" s="707"/>
      <c r="GQE34" s="707"/>
      <c r="GQF34" s="707"/>
      <c r="GQG34" s="707"/>
      <c r="GQH34" s="707"/>
      <c r="GQI34" s="707"/>
      <c r="GQJ34" s="707"/>
      <c r="GQK34" s="707"/>
      <c r="GQL34" s="707"/>
      <c r="GQM34" s="707"/>
      <c r="GQN34" s="707"/>
      <c r="GQO34" s="707"/>
      <c r="GQP34" s="707"/>
      <c r="GQQ34" s="707"/>
      <c r="GQR34" s="707"/>
      <c r="GQS34" s="707"/>
      <c r="GQT34" s="707"/>
      <c r="GQU34" s="707"/>
      <c r="GQV34" s="707"/>
      <c r="GQW34" s="707"/>
      <c r="GQX34" s="707"/>
      <c r="GQY34" s="707"/>
      <c r="GQZ34" s="707"/>
      <c r="GRA34" s="707"/>
      <c r="GRB34" s="707"/>
      <c r="GRC34" s="707"/>
      <c r="GRD34" s="707"/>
      <c r="GRE34" s="707"/>
      <c r="GRF34" s="707"/>
      <c r="GRG34" s="707"/>
      <c r="GRH34" s="707"/>
      <c r="GRI34" s="707"/>
      <c r="GRJ34" s="707"/>
      <c r="GRK34" s="707"/>
      <c r="GRL34" s="707"/>
      <c r="GRM34" s="707"/>
      <c r="GRN34" s="707"/>
      <c r="GRO34" s="707"/>
      <c r="GRP34" s="707"/>
      <c r="GRQ34" s="707"/>
      <c r="GRR34" s="707"/>
      <c r="GRS34" s="707"/>
      <c r="GRT34" s="707"/>
      <c r="GRU34" s="707"/>
      <c r="GRV34" s="707"/>
      <c r="GRW34" s="707"/>
      <c r="GRX34" s="707"/>
      <c r="GRY34" s="707"/>
      <c r="GRZ34" s="707"/>
      <c r="GSA34" s="707"/>
      <c r="GSB34" s="707"/>
      <c r="GSC34" s="707"/>
      <c r="GSD34" s="707"/>
      <c r="GSE34" s="707"/>
      <c r="GSF34" s="707"/>
      <c r="GSG34" s="707"/>
      <c r="GSH34" s="707"/>
      <c r="GSI34" s="707"/>
      <c r="GSJ34" s="707"/>
      <c r="GSK34" s="707"/>
      <c r="GSL34" s="707"/>
      <c r="GSM34" s="707"/>
      <c r="GSN34" s="707"/>
      <c r="GSO34" s="707"/>
      <c r="GSP34" s="707"/>
      <c r="GSQ34" s="707"/>
      <c r="GSR34" s="707"/>
      <c r="GSS34" s="707"/>
      <c r="GST34" s="707"/>
      <c r="GSU34" s="707"/>
      <c r="GSV34" s="707"/>
      <c r="GSW34" s="707"/>
      <c r="GSX34" s="707"/>
      <c r="GSY34" s="707"/>
      <c r="GSZ34" s="707"/>
      <c r="GTA34" s="707"/>
      <c r="GTB34" s="707"/>
      <c r="GTC34" s="707"/>
      <c r="GTD34" s="707"/>
      <c r="GTE34" s="707"/>
      <c r="GTF34" s="707"/>
      <c r="GTG34" s="707"/>
      <c r="GTH34" s="707"/>
      <c r="GTI34" s="707"/>
      <c r="GTJ34" s="707"/>
      <c r="GTK34" s="707"/>
      <c r="GTL34" s="707"/>
      <c r="GTM34" s="707"/>
      <c r="GTN34" s="707"/>
      <c r="GTO34" s="707"/>
      <c r="GTP34" s="707"/>
      <c r="GTQ34" s="707"/>
      <c r="GTR34" s="707"/>
      <c r="GTS34" s="707"/>
      <c r="GTT34" s="707"/>
      <c r="GTU34" s="707"/>
      <c r="GTV34" s="707"/>
      <c r="GTW34" s="707"/>
      <c r="GTX34" s="707"/>
      <c r="GTY34" s="707"/>
      <c r="GTZ34" s="707"/>
      <c r="GUA34" s="707"/>
      <c r="GUB34" s="707"/>
      <c r="GUC34" s="707"/>
      <c r="GUD34" s="707"/>
      <c r="GUE34" s="707"/>
      <c r="GUF34" s="707"/>
      <c r="GUG34" s="707"/>
      <c r="GUH34" s="707"/>
      <c r="GUI34" s="707"/>
      <c r="GUJ34" s="707"/>
      <c r="GUK34" s="707"/>
      <c r="GUL34" s="707"/>
      <c r="GUM34" s="707"/>
      <c r="GUN34" s="707"/>
      <c r="GUO34" s="707"/>
      <c r="GUP34" s="707"/>
      <c r="GUQ34" s="707"/>
      <c r="GUR34" s="707"/>
      <c r="GUS34" s="707"/>
      <c r="GUT34" s="707"/>
      <c r="GUU34" s="707"/>
      <c r="GUV34" s="707"/>
      <c r="GUW34" s="707"/>
      <c r="GUX34" s="707"/>
      <c r="GUY34" s="707"/>
      <c r="GUZ34" s="707"/>
      <c r="GVA34" s="707"/>
      <c r="GVB34" s="707"/>
      <c r="GVC34" s="707"/>
      <c r="GVD34" s="707"/>
      <c r="GVE34" s="707"/>
      <c r="GVF34" s="707"/>
      <c r="GVG34" s="707"/>
      <c r="GVH34" s="707"/>
      <c r="GVI34" s="707"/>
      <c r="GVJ34" s="707"/>
      <c r="GVK34" s="707"/>
      <c r="GVL34" s="707"/>
      <c r="GVM34" s="707"/>
      <c r="GVN34" s="707"/>
      <c r="GVO34" s="707"/>
      <c r="GVP34" s="707"/>
      <c r="GVQ34" s="707"/>
      <c r="GVR34" s="707"/>
      <c r="GVS34" s="707"/>
      <c r="GVT34" s="707"/>
      <c r="GVU34" s="707"/>
      <c r="GVV34" s="707"/>
      <c r="GVW34" s="707"/>
      <c r="GVX34" s="707"/>
      <c r="GVY34" s="707"/>
      <c r="GVZ34" s="707"/>
      <c r="GWA34" s="707"/>
      <c r="GWB34" s="707"/>
      <c r="GWC34" s="707"/>
      <c r="GWD34" s="707"/>
      <c r="GWE34" s="707"/>
      <c r="GWF34" s="707"/>
      <c r="GWG34" s="707"/>
      <c r="GWH34" s="707"/>
      <c r="GWI34" s="707"/>
      <c r="GWJ34" s="707"/>
      <c r="GWK34" s="707"/>
      <c r="GWL34" s="707"/>
      <c r="GWM34" s="707"/>
      <c r="GWN34" s="707"/>
      <c r="GWO34" s="707"/>
      <c r="GWP34" s="707"/>
      <c r="GWQ34" s="707"/>
      <c r="GWR34" s="707"/>
      <c r="GWS34" s="707"/>
      <c r="GWT34" s="707"/>
      <c r="GWU34" s="707"/>
      <c r="GWV34" s="707"/>
      <c r="GWW34" s="707"/>
      <c r="GWX34" s="707"/>
      <c r="GWY34" s="707"/>
      <c r="GWZ34" s="707"/>
      <c r="GXA34" s="707"/>
      <c r="GXB34" s="707"/>
      <c r="GXC34" s="707"/>
      <c r="GXD34" s="707"/>
      <c r="GXE34" s="707"/>
      <c r="GXF34" s="707"/>
      <c r="GXG34" s="707"/>
      <c r="GXH34" s="707"/>
      <c r="GXI34" s="707"/>
      <c r="GXJ34" s="707"/>
      <c r="GXK34" s="707"/>
      <c r="GXL34" s="707"/>
      <c r="GXM34" s="707"/>
      <c r="GXN34" s="707"/>
      <c r="GXO34" s="707"/>
      <c r="GXP34" s="707"/>
      <c r="GXQ34" s="707"/>
      <c r="GXR34" s="707"/>
      <c r="GXS34" s="707"/>
      <c r="GXT34" s="707"/>
      <c r="GXU34" s="707"/>
      <c r="GXV34" s="707"/>
      <c r="GXW34" s="707"/>
      <c r="GXX34" s="707"/>
      <c r="GXY34" s="707"/>
      <c r="GXZ34" s="707"/>
      <c r="GYA34" s="707"/>
      <c r="GYB34" s="707"/>
      <c r="GYC34" s="707"/>
      <c r="GYD34" s="707"/>
      <c r="GYE34" s="707"/>
      <c r="GYF34" s="707"/>
      <c r="GYG34" s="707"/>
      <c r="GYH34" s="707"/>
      <c r="GYI34" s="707"/>
      <c r="GYJ34" s="707"/>
      <c r="GYK34" s="707"/>
      <c r="GYL34" s="707"/>
      <c r="GYM34" s="707"/>
      <c r="GYN34" s="707"/>
      <c r="GYO34" s="707"/>
      <c r="GYP34" s="707"/>
      <c r="GYQ34" s="707"/>
      <c r="GYR34" s="707"/>
      <c r="GYS34" s="707"/>
      <c r="GYT34" s="707"/>
      <c r="GYU34" s="707"/>
      <c r="GYV34" s="707"/>
      <c r="GYW34" s="707"/>
      <c r="GYX34" s="707"/>
      <c r="GYY34" s="707"/>
      <c r="GYZ34" s="707"/>
      <c r="GZA34" s="707"/>
      <c r="GZB34" s="707"/>
      <c r="GZC34" s="707"/>
      <c r="GZD34" s="707"/>
      <c r="GZE34" s="707"/>
      <c r="GZF34" s="707"/>
      <c r="GZG34" s="707"/>
      <c r="GZH34" s="707"/>
      <c r="GZI34" s="707"/>
      <c r="GZJ34" s="707"/>
      <c r="GZK34" s="707"/>
      <c r="GZL34" s="707"/>
      <c r="GZM34" s="707"/>
      <c r="GZN34" s="707"/>
      <c r="GZO34" s="707"/>
      <c r="GZP34" s="707"/>
      <c r="GZQ34" s="707"/>
      <c r="GZR34" s="707"/>
      <c r="GZS34" s="707"/>
      <c r="GZT34" s="707"/>
      <c r="GZU34" s="707"/>
      <c r="GZV34" s="707"/>
      <c r="GZW34" s="707"/>
      <c r="GZX34" s="707"/>
      <c r="GZY34" s="707"/>
      <c r="GZZ34" s="707"/>
      <c r="HAA34" s="707"/>
      <c r="HAB34" s="707"/>
      <c r="HAC34" s="707"/>
      <c r="HAD34" s="707"/>
      <c r="HAE34" s="707"/>
      <c r="HAF34" s="707"/>
      <c r="HAG34" s="707"/>
      <c r="HAH34" s="707"/>
      <c r="HAI34" s="707"/>
      <c r="HAJ34" s="707"/>
      <c r="HAK34" s="707"/>
      <c r="HAL34" s="707"/>
      <c r="HAM34" s="707"/>
      <c r="HAN34" s="707"/>
      <c r="HAO34" s="707"/>
      <c r="HAP34" s="707"/>
      <c r="HAQ34" s="707"/>
      <c r="HAR34" s="707"/>
      <c r="HAS34" s="707"/>
      <c r="HAT34" s="707"/>
      <c r="HAU34" s="707"/>
      <c r="HAV34" s="707"/>
      <c r="HAW34" s="707"/>
      <c r="HAX34" s="707"/>
      <c r="HAY34" s="707"/>
      <c r="HAZ34" s="707"/>
      <c r="HBA34" s="707"/>
      <c r="HBB34" s="707"/>
      <c r="HBC34" s="707"/>
      <c r="HBD34" s="707"/>
      <c r="HBE34" s="707"/>
      <c r="HBF34" s="707"/>
      <c r="HBG34" s="707"/>
      <c r="HBH34" s="707"/>
      <c r="HBI34" s="707"/>
      <c r="HBJ34" s="707"/>
      <c r="HBK34" s="707"/>
      <c r="HBL34" s="707"/>
      <c r="HBM34" s="707"/>
      <c r="HBN34" s="707"/>
      <c r="HBO34" s="707"/>
      <c r="HBP34" s="707"/>
      <c r="HBQ34" s="707"/>
      <c r="HBR34" s="707"/>
      <c r="HBS34" s="707"/>
      <c r="HBT34" s="707"/>
      <c r="HBU34" s="707"/>
      <c r="HBV34" s="707"/>
      <c r="HBW34" s="707"/>
      <c r="HBX34" s="707"/>
      <c r="HBY34" s="707"/>
      <c r="HBZ34" s="707"/>
      <c r="HCA34" s="707"/>
      <c r="HCB34" s="707"/>
      <c r="HCC34" s="707"/>
      <c r="HCD34" s="707"/>
      <c r="HCE34" s="707"/>
      <c r="HCF34" s="707"/>
      <c r="HCG34" s="707"/>
      <c r="HCH34" s="707"/>
      <c r="HCI34" s="707"/>
      <c r="HCJ34" s="707"/>
      <c r="HCK34" s="707"/>
      <c r="HCL34" s="707"/>
      <c r="HCM34" s="707"/>
      <c r="HCN34" s="707"/>
      <c r="HCO34" s="707"/>
      <c r="HCP34" s="707"/>
      <c r="HCQ34" s="707"/>
      <c r="HCR34" s="707"/>
      <c r="HCS34" s="707"/>
      <c r="HCT34" s="707"/>
      <c r="HCU34" s="707"/>
      <c r="HCV34" s="707"/>
      <c r="HCW34" s="707"/>
      <c r="HCX34" s="707"/>
      <c r="HCY34" s="707"/>
      <c r="HCZ34" s="707"/>
      <c r="HDA34" s="707"/>
      <c r="HDB34" s="707"/>
      <c r="HDC34" s="707"/>
      <c r="HDD34" s="707"/>
      <c r="HDE34" s="707"/>
      <c r="HDF34" s="707"/>
      <c r="HDG34" s="707"/>
      <c r="HDH34" s="707"/>
      <c r="HDI34" s="707"/>
      <c r="HDJ34" s="707"/>
      <c r="HDK34" s="707"/>
      <c r="HDL34" s="707"/>
      <c r="HDM34" s="707"/>
      <c r="HDN34" s="707"/>
      <c r="HDO34" s="707"/>
      <c r="HDP34" s="707"/>
      <c r="HDQ34" s="707"/>
      <c r="HDR34" s="707"/>
      <c r="HDS34" s="707"/>
      <c r="HDT34" s="707"/>
      <c r="HDU34" s="707"/>
      <c r="HDV34" s="707"/>
      <c r="HDW34" s="707"/>
      <c r="HDX34" s="707"/>
      <c r="HDY34" s="707"/>
      <c r="HDZ34" s="707"/>
      <c r="HEA34" s="707"/>
      <c r="HEB34" s="707"/>
      <c r="HEC34" s="707"/>
      <c r="HED34" s="707"/>
      <c r="HEE34" s="707"/>
      <c r="HEF34" s="707"/>
      <c r="HEG34" s="707"/>
      <c r="HEH34" s="707"/>
      <c r="HEI34" s="707"/>
      <c r="HEJ34" s="707"/>
      <c r="HEK34" s="707"/>
      <c r="HEL34" s="707"/>
      <c r="HEM34" s="707"/>
      <c r="HEN34" s="707"/>
      <c r="HEO34" s="707"/>
      <c r="HEP34" s="707"/>
      <c r="HEQ34" s="707"/>
      <c r="HER34" s="707"/>
      <c r="HES34" s="707"/>
      <c r="HET34" s="707"/>
      <c r="HEU34" s="707"/>
      <c r="HEV34" s="707"/>
      <c r="HEW34" s="707"/>
      <c r="HEX34" s="707"/>
      <c r="HEY34" s="707"/>
      <c r="HEZ34" s="707"/>
      <c r="HFA34" s="707"/>
      <c r="HFB34" s="707"/>
      <c r="HFC34" s="707"/>
      <c r="HFD34" s="707"/>
      <c r="HFE34" s="707"/>
      <c r="HFF34" s="707"/>
      <c r="HFG34" s="707"/>
      <c r="HFH34" s="707"/>
      <c r="HFI34" s="707"/>
      <c r="HFJ34" s="707"/>
      <c r="HFK34" s="707"/>
      <c r="HFL34" s="707"/>
      <c r="HFM34" s="707"/>
      <c r="HFN34" s="707"/>
      <c r="HFO34" s="707"/>
      <c r="HFP34" s="707"/>
      <c r="HFQ34" s="707"/>
      <c r="HFR34" s="707"/>
      <c r="HFS34" s="707"/>
      <c r="HFT34" s="707"/>
      <c r="HFU34" s="707"/>
      <c r="HFV34" s="707"/>
      <c r="HFW34" s="707"/>
      <c r="HFX34" s="707"/>
      <c r="HFY34" s="707"/>
      <c r="HFZ34" s="707"/>
      <c r="HGA34" s="707"/>
      <c r="HGB34" s="707"/>
      <c r="HGC34" s="707"/>
      <c r="HGD34" s="707"/>
      <c r="HGE34" s="707"/>
      <c r="HGF34" s="707"/>
      <c r="HGG34" s="707"/>
      <c r="HGH34" s="707"/>
      <c r="HGI34" s="707"/>
      <c r="HGJ34" s="707"/>
      <c r="HGK34" s="707"/>
      <c r="HGL34" s="707"/>
      <c r="HGM34" s="707"/>
      <c r="HGN34" s="707"/>
      <c r="HGO34" s="707"/>
      <c r="HGP34" s="707"/>
      <c r="HGQ34" s="707"/>
      <c r="HGR34" s="707"/>
      <c r="HGS34" s="707"/>
      <c r="HGT34" s="707"/>
      <c r="HGU34" s="707"/>
      <c r="HGV34" s="707"/>
      <c r="HGW34" s="707"/>
      <c r="HGX34" s="707"/>
      <c r="HGY34" s="707"/>
      <c r="HGZ34" s="707"/>
      <c r="HHA34" s="707"/>
      <c r="HHB34" s="707"/>
      <c r="HHC34" s="707"/>
      <c r="HHD34" s="707"/>
      <c r="HHE34" s="707"/>
      <c r="HHF34" s="707"/>
      <c r="HHG34" s="707"/>
      <c r="HHH34" s="707"/>
      <c r="HHI34" s="707"/>
      <c r="HHJ34" s="707"/>
      <c r="HHK34" s="707"/>
      <c r="HHL34" s="707"/>
      <c r="HHM34" s="707"/>
      <c r="HHN34" s="707"/>
      <c r="HHO34" s="707"/>
      <c r="HHP34" s="707"/>
      <c r="HHQ34" s="707"/>
      <c r="HHR34" s="707"/>
      <c r="HHS34" s="707"/>
      <c r="HHT34" s="707"/>
      <c r="HHU34" s="707"/>
      <c r="HHV34" s="707"/>
      <c r="HHW34" s="707"/>
      <c r="HHX34" s="707"/>
      <c r="HHY34" s="707"/>
      <c r="HHZ34" s="707"/>
      <c r="HIA34" s="707"/>
      <c r="HIB34" s="707"/>
      <c r="HIC34" s="707"/>
      <c r="HID34" s="707"/>
      <c r="HIE34" s="707"/>
      <c r="HIF34" s="707"/>
      <c r="HIG34" s="707"/>
      <c r="HIH34" s="707"/>
      <c r="HII34" s="707"/>
      <c r="HIJ34" s="707"/>
      <c r="HIK34" s="707"/>
      <c r="HIL34" s="707"/>
      <c r="HIM34" s="707"/>
      <c r="HIN34" s="707"/>
      <c r="HIO34" s="707"/>
      <c r="HIP34" s="707"/>
      <c r="HIQ34" s="707"/>
      <c r="HIR34" s="707"/>
      <c r="HIS34" s="707"/>
      <c r="HIT34" s="707"/>
      <c r="HIU34" s="707"/>
      <c r="HIV34" s="707"/>
      <c r="HIW34" s="707"/>
      <c r="HIX34" s="707"/>
      <c r="HIY34" s="707"/>
      <c r="HIZ34" s="707"/>
      <c r="HJA34" s="707"/>
      <c r="HJB34" s="707"/>
      <c r="HJC34" s="707"/>
      <c r="HJD34" s="707"/>
      <c r="HJE34" s="707"/>
      <c r="HJF34" s="707"/>
      <c r="HJG34" s="707"/>
      <c r="HJH34" s="707"/>
      <c r="HJI34" s="707"/>
      <c r="HJJ34" s="707"/>
      <c r="HJK34" s="707"/>
      <c r="HJL34" s="707"/>
      <c r="HJM34" s="707"/>
      <c r="HJN34" s="707"/>
      <c r="HJO34" s="707"/>
      <c r="HJP34" s="707"/>
      <c r="HJQ34" s="707"/>
      <c r="HJR34" s="707"/>
      <c r="HJS34" s="707"/>
      <c r="HJT34" s="707"/>
      <c r="HJU34" s="707"/>
      <c r="HJV34" s="707"/>
      <c r="HJW34" s="707"/>
      <c r="HJX34" s="707"/>
      <c r="HJY34" s="707"/>
      <c r="HJZ34" s="707"/>
      <c r="HKA34" s="707"/>
      <c r="HKB34" s="707"/>
      <c r="HKC34" s="707"/>
      <c r="HKD34" s="707"/>
      <c r="HKE34" s="707"/>
      <c r="HKF34" s="707"/>
      <c r="HKG34" s="707"/>
      <c r="HKH34" s="707"/>
      <c r="HKI34" s="707"/>
      <c r="HKJ34" s="707"/>
      <c r="HKK34" s="707"/>
      <c r="HKL34" s="707"/>
      <c r="HKM34" s="707"/>
      <c r="HKN34" s="707"/>
      <c r="HKO34" s="707"/>
      <c r="HKP34" s="707"/>
      <c r="HKQ34" s="707"/>
      <c r="HKR34" s="707"/>
      <c r="HKS34" s="707"/>
      <c r="HKT34" s="707"/>
      <c r="HKU34" s="707"/>
      <c r="HKV34" s="707"/>
      <c r="HKW34" s="707"/>
      <c r="HKX34" s="707"/>
      <c r="HKY34" s="707"/>
      <c r="HKZ34" s="707"/>
      <c r="HLA34" s="707"/>
      <c r="HLB34" s="707"/>
      <c r="HLC34" s="707"/>
      <c r="HLD34" s="707"/>
      <c r="HLE34" s="707"/>
      <c r="HLF34" s="707"/>
      <c r="HLG34" s="707"/>
      <c r="HLH34" s="707"/>
      <c r="HLI34" s="707"/>
      <c r="HLJ34" s="707"/>
      <c r="HLK34" s="707"/>
      <c r="HLL34" s="707"/>
      <c r="HLM34" s="707"/>
      <c r="HLN34" s="707"/>
      <c r="HLO34" s="707"/>
      <c r="HLP34" s="707"/>
      <c r="HLQ34" s="707"/>
      <c r="HLR34" s="707"/>
      <c r="HLS34" s="707"/>
      <c r="HLT34" s="707"/>
      <c r="HLU34" s="707"/>
      <c r="HLV34" s="707"/>
      <c r="HLW34" s="707"/>
      <c r="HLX34" s="707"/>
      <c r="HLY34" s="707"/>
      <c r="HLZ34" s="707"/>
      <c r="HMA34" s="707"/>
      <c r="HMB34" s="707"/>
      <c r="HMC34" s="707"/>
      <c r="HMD34" s="707"/>
      <c r="HME34" s="707"/>
      <c r="HMF34" s="707"/>
      <c r="HMG34" s="707"/>
      <c r="HMH34" s="707"/>
      <c r="HMI34" s="707"/>
      <c r="HMJ34" s="707"/>
      <c r="HMK34" s="707"/>
      <c r="HML34" s="707"/>
      <c r="HMM34" s="707"/>
      <c r="HMN34" s="707"/>
      <c r="HMO34" s="707"/>
      <c r="HMP34" s="707"/>
      <c r="HMQ34" s="707"/>
      <c r="HMR34" s="707"/>
      <c r="HMS34" s="707"/>
      <c r="HMT34" s="707"/>
      <c r="HMU34" s="707"/>
      <c r="HMV34" s="707"/>
      <c r="HMW34" s="707"/>
      <c r="HMX34" s="707"/>
      <c r="HMY34" s="707"/>
      <c r="HMZ34" s="707"/>
      <c r="HNA34" s="707"/>
      <c r="HNB34" s="707"/>
      <c r="HNC34" s="707"/>
      <c r="HND34" s="707"/>
      <c r="HNE34" s="707"/>
      <c r="HNF34" s="707"/>
      <c r="HNG34" s="707"/>
      <c r="HNH34" s="707"/>
      <c r="HNI34" s="707"/>
      <c r="HNJ34" s="707"/>
      <c r="HNK34" s="707"/>
      <c r="HNL34" s="707"/>
      <c r="HNM34" s="707"/>
      <c r="HNN34" s="707"/>
      <c r="HNO34" s="707"/>
      <c r="HNP34" s="707"/>
      <c r="HNQ34" s="707"/>
      <c r="HNR34" s="707"/>
      <c r="HNS34" s="707"/>
      <c r="HNT34" s="707"/>
      <c r="HNU34" s="707"/>
      <c r="HNV34" s="707"/>
      <c r="HNW34" s="707"/>
      <c r="HNX34" s="707"/>
      <c r="HNY34" s="707"/>
      <c r="HNZ34" s="707"/>
      <c r="HOA34" s="707"/>
      <c r="HOB34" s="707"/>
      <c r="HOC34" s="707"/>
      <c r="HOD34" s="707"/>
      <c r="HOE34" s="707"/>
      <c r="HOF34" s="707"/>
      <c r="HOG34" s="707"/>
      <c r="HOH34" s="707"/>
      <c r="HOI34" s="707"/>
      <c r="HOJ34" s="707"/>
      <c r="HOK34" s="707"/>
      <c r="HOL34" s="707"/>
      <c r="HOM34" s="707"/>
      <c r="HON34" s="707"/>
      <c r="HOO34" s="707"/>
      <c r="HOP34" s="707"/>
      <c r="HOQ34" s="707"/>
      <c r="HOR34" s="707"/>
      <c r="HOS34" s="707"/>
      <c r="HOT34" s="707"/>
      <c r="HOU34" s="707"/>
      <c r="HOV34" s="707"/>
      <c r="HOW34" s="707"/>
      <c r="HOX34" s="707"/>
      <c r="HOY34" s="707"/>
      <c r="HOZ34" s="707"/>
      <c r="HPA34" s="707"/>
      <c r="HPB34" s="707"/>
      <c r="HPC34" s="707"/>
      <c r="HPD34" s="707"/>
      <c r="HPE34" s="707"/>
      <c r="HPF34" s="707"/>
      <c r="HPG34" s="707"/>
      <c r="HPH34" s="707"/>
      <c r="HPI34" s="707"/>
      <c r="HPJ34" s="707"/>
      <c r="HPK34" s="707"/>
      <c r="HPL34" s="707"/>
      <c r="HPM34" s="707"/>
      <c r="HPN34" s="707"/>
      <c r="HPO34" s="707"/>
      <c r="HPP34" s="707"/>
      <c r="HPQ34" s="707"/>
      <c r="HPR34" s="707"/>
      <c r="HPS34" s="707"/>
      <c r="HPT34" s="707"/>
      <c r="HPU34" s="707"/>
      <c r="HPV34" s="707"/>
      <c r="HPW34" s="707"/>
      <c r="HPX34" s="707"/>
      <c r="HPY34" s="707"/>
      <c r="HPZ34" s="707"/>
      <c r="HQA34" s="707"/>
      <c r="HQB34" s="707"/>
      <c r="HQC34" s="707"/>
      <c r="HQD34" s="707"/>
      <c r="HQE34" s="707"/>
      <c r="HQF34" s="707"/>
      <c r="HQG34" s="707"/>
      <c r="HQH34" s="707"/>
      <c r="HQI34" s="707"/>
      <c r="HQJ34" s="707"/>
      <c r="HQK34" s="707"/>
      <c r="HQL34" s="707"/>
      <c r="HQM34" s="707"/>
      <c r="HQN34" s="707"/>
      <c r="HQO34" s="707"/>
      <c r="HQP34" s="707"/>
      <c r="HQQ34" s="707"/>
      <c r="HQR34" s="707"/>
      <c r="HQS34" s="707"/>
      <c r="HQT34" s="707"/>
      <c r="HQU34" s="707"/>
      <c r="HQV34" s="707"/>
      <c r="HQW34" s="707"/>
      <c r="HQX34" s="707"/>
      <c r="HQY34" s="707"/>
      <c r="HQZ34" s="707"/>
      <c r="HRA34" s="707"/>
      <c r="HRB34" s="707"/>
      <c r="HRC34" s="707"/>
      <c r="HRD34" s="707"/>
      <c r="HRE34" s="707"/>
      <c r="HRF34" s="707"/>
      <c r="HRG34" s="707"/>
      <c r="HRH34" s="707"/>
      <c r="HRI34" s="707"/>
      <c r="HRJ34" s="707"/>
      <c r="HRK34" s="707"/>
      <c r="HRL34" s="707"/>
      <c r="HRM34" s="707"/>
      <c r="HRN34" s="707"/>
      <c r="HRO34" s="707"/>
      <c r="HRP34" s="707"/>
      <c r="HRQ34" s="707"/>
      <c r="HRR34" s="707"/>
      <c r="HRS34" s="707"/>
      <c r="HRT34" s="707"/>
      <c r="HRU34" s="707"/>
      <c r="HRV34" s="707"/>
      <c r="HRW34" s="707"/>
      <c r="HRX34" s="707"/>
      <c r="HRY34" s="707"/>
      <c r="HRZ34" s="707"/>
      <c r="HSA34" s="707"/>
      <c r="HSB34" s="707"/>
      <c r="HSC34" s="707"/>
      <c r="HSD34" s="707"/>
      <c r="HSE34" s="707"/>
      <c r="HSF34" s="707"/>
      <c r="HSG34" s="707"/>
      <c r="HSH34" s="707"/>
      <c r="HSI34" s="707"/>
      <c r="HSJ34" s="707"/>
      <c r="HSK34" s="707"/>
      <c r="HSL34" s="707"/>
      <c r="HSM34" s="707"/>
      <c r="HSN34" s="707"/>
      <c r="HSO34" s="707"/>
      <c r="HSP34" s="707"/>
      <c r="HSQ34" s="707"/>
      <c r="HSR34" s="707"/>
      <c r="HSS34" s="707"/>
      <c r="HST34" s="707"/>
      <c r="HSU34" s="707"/>
      <c r="HSV34" s="707"/>
      <c r="HSW34" s="707"/>
      <c r="HSX34" s="707"/>
      <c r="HSY34" s="707"/>
      <c r="HSZ34" s="707"/>
      <c r="HTA34" s="707"/>
      <c r="HTB34" s="707"/>
      <c r="HTC34" s="707"/>
      <c r="HTD34" s="707"/>
      <c r="HTE34" s="707"/>
      <c r="HTF34" s="707"/>
      <c r="HTG34" s="707"/>
      <c r="HTH34" s="707"/>
      <c r="HTI34" s="707"/>
      <c r="HTJ34" s="707"/>
      <c r="HTK34" s="707"/>
      <c r="HTL34" s="707"/>
      <c r="HTM34" s="707"/>
      <c r="HTN34" s="707"/>
      <c r="HTO34" s="707"/>
      <c r="HTP34" s="707"/>
      <c r="HTQ34" s="707"/>
      <c r="HTR34" s="707"/>
      <c r="HTS34" s="707"/>
      <c r="HTT34" s="707"/>
      <c r="HTU34" s="707"/>
      <c r="HTV34" s="707"/>
      <c r="HTW34" s="707"/>
      <c r="HTX34" s="707"/>
      <c r="HTY34" s="707"/>
      <c r="HTZ34" s="707"/>
      <c r="HUA34" s="707"/>
      <c r="HUB34" s="707"/>
      <c r="HUC34" s="707"/>
      <c r="HUD34" s="707"/>
      <c r="HUE34" s="707"/>
      <c r="HUF34" s="707"/>
      <c r="HUG34" s="707"/>
      <c r="HUH34" s="707"/>
      <c r="HUI34" s="707"/>
      <c r="HUJ34" s="707"/>
      <c r="HUK34" s="707"/>
      <c r="HUL34" s="707"/>
      <c r="HUM34" s="707"/>
      <c r="HUN34" s="707"/>
      <c r="HUO34" s="707"/>
      <c r="HUP34" s="707"/>
      <c r="HUQ34" s="707"/>
      <c r="HUR34" s="707"/>
      <c r="HUS34" s="707"/>
      <c r="HUT34" s="707"/>
      <c r="HUU34" s="707"/>
      <c r="HUV34" s="707"/>
      <c r="HUW34" s="707"/>
      <c r="HUX34" s="707"/>
      <c r="HUY34" s="707"/>
      <c r="HUZ34" s="707"/>
      <c r="HVA34" s="707"/>
      <c r="HVB34" s="707"/>
      <c r="HVC34" s="707"/>
      <c r="HVD34" s="707"/>
      <c r="HVE34" s="707"/>
      <c r="HVF34" s="707"/>
      <c r="HVG34" s="707"/>
      <c r="HVH34" s="707"/>
      <c r="HVI34" s="707"/>
      <c r="HVJ34" s="707"/>
      <c r="HVK34" s="707"/>
      <c r="HVL34" s="707"/>
      <c r="HVM34" s="707"/>
      <c r="HVN34" s="707"/>
      <c r="HVO34" s="707"/>
      <c r="HVP34" s="707"/>
      <c r="HVQ34" s="707"/>
      <c r="HVR34" s="707"/>
      <c r="HVS34" s="707"/>
      <c r="HVT34" s="707"/>
      <c r="HVU34" s="707"/>
      <c r="HVV34" s="707"/>
      <c r="HVW34" s="707"/>
      <c r="HVX34" s="707"/>
      <c r="HVY34" s="707"/>
      <c r="HVZ34" s="707"/>
      <c r="HWA34" s="707"/>
      <c r="HWB34" s="707"/>
      <c r="HWC34" s="707"/>
      <c r="HWD34" s="707"/>
      <c r="HWE34" s="707"/>
      <c r="HWF34" s="707"/>
      <c r="HWG34" s="707"/>
      <c r="HWH34" s="707"/>
      <c r="HWI34" s="707"/>
      <c r="HWJ34" s="707"/>
      <c r="HWK34" s="707"/>
      <c r="HWL34" s="707"/>
      <c r="HWM34" s="707"/>
      <c r="HWN34" s="707"/>
      <c r="HWO34" s="707"/>
      <c r="HWP34" s="707"/>
      <c r="HWQ34" s="707"/>
      <c r="HWR34" s="707"/>
      <c r="HWS34" s="707"/>
      <c r="HWT34" s="707"/>
      <c r="HWU34" s="707"/>
      <c r="HWV34" s="707"/>
      <c r="HWW34" s="707"/>
      <c r="HWX34" s="707"/>
      <c r="HWY34" s="707"/>
      <c r="HWZ34" s="707"/>
      <c r="HXA34" s="707"/>
      <c r="HXB34" s="707"/>
      <c r="HXC34" s="707"/>
      <c r="HXD34" s="707"/>
      <c r="HXE34" s="707"/>
      <c r="HXF34" s="707"/>
      <c r="HXG34" s="707"/>
      <c r="HXH34" s="707"/>
      <c r="HXI34" s="707"/>
      <c r="HXJ34" s="707"/>
      <c r="HXK34" s="707"/>
      <c r="HXL34" s="707"/>
      <c r="HXM34" s="707"/>
      <c r="HXN34" s="707"/>
      <c r="HXO34" s="707"/>
      <c r="HXP34" s="707"/>
      <c r="HXQ34" s="707"/>
      <c r="HXR34" s="707"/>
      <c r="HXS34" s="707"/>
      <c r="HXT34" s="707"/>
      <c r="HXU34" s="707"/>
      <c r="HXV34" s="707"/>
      <c r="HXW34" s="707"/>
      <c r="HXX34" s="707"/>
      <c r="HXY34" s="707"/>
      <c r="HXZ34" s="707"/>
      <c r="HYA34" s="707"/>
      <c r="HYB34" s="707"/>
      <c r="HYC34" s="707"/>
      <c r="HYD34" s="707"/>
      <c r="HYE34" s="707"/>
      <c r="HYF34" s="707"/>
      <c r="HYG34" s="707"/>
      <c r="HYH34" s="707"/>
      <c r="HYI34" s="707"/>
      <c r="HYJ34" s="707"/>
      <c r="HYK34" s="707"/>
      <c r="HYL34" s="707"/>
      <c r="HYM34" s="707"/>
      <c r="HYN34" s="707"/>
      <c r="HYO34" s="707"/>
      <c r="HYP34" s="707"/>
      <c r="HYQ34" s="707"/>
      <c r="HYR34" s="707"/>
      <c r="HYS34" s="707"/>
      <c r="HYT34" s="707"/>
      <c r="HYU34" s="707"/>
      <c r="HYV34" s="707"/>
      <c r="HYW34" s="707"/>
      <c r="HYX34" s="707"/>
      <c r="HYY34" s="707"/>
      <c r="HYZ34" s="707"/>
      <c r="HZA34" s="707"/>
      <c r="HZB34" s="707"/>
      <c r="HZC34" s="707"/>
      <c r="HZD34" s="707"/>
      <c r="HZE34" s="707"/>
      <c r="HZF34" s="707"/>
      <c r="HZG34" s="707"/>
      <c r="HZH34" s="707"/>
      <c r="HZI34" s="707"/>
      <c r="HZJ34" s="707"/>
      <c r="HZK34" s="707"/>
      <c r="HZL34" s="707"/>
      <c r="HZM34" s="707"/>
      <c r="HZN34" s="707"/>
      <c r="HZO34" s="707"/>
      <c r="HZP34" s="707"/>
      <c r="HZQ34" s="707"/>
      <c r="HZR34" s="707"/>
      <c r="HZS34" s="707"/>
      <c r="HZT34" s="707"/>
      <c r="HZU34" s="707"/>
      <c r="HZV34" s="707"/>
      <c r="HZW34" s="707"/>
      <c r="HZX34" s="707"/>
      <c r="HZY34" s="707"/>
      <c r="HZZ34" s="707"/>
      <c r="IAA34" s="707"/>
      <c r="IAB34" s="707"/>
      <c r="IAC34" s="707"/>
      <c r="IAD34" s="707"/>
      <c r="IAE34" s="707"/>
      <c r="IAF34" s="707"/>
      <c r="IAG34" s="707"/>
      <c r="IAH34" s="707"/>
      <c r="IAI34" s="707"/>
      <c r="IAJ34" s="707"/>
      <c r="IAK34" s="707"/>
      <c r="IAL34" s="707"/>
      <c r="IAM34" s="707"/>
      <c r="IAN34" s="707"/>
      <c r="IAO34" s="707"/>
      <c r="IAP34" s="707"/>
      <c r="IAQ34" s="707"/>
      <c r="IAR34" s="707"/>
      <c r="IAS34" s="707"/>
      <c r="IAT34" s="707"/>
      <c r="IAU34" s="707"/>
      <c r="IAV34" s="707"/>
      <c r="IAW34" s="707"/>
      <c r="IAX34" s="707"/>
      <c r="IAY34" s="707"/>
      <c r="IAZ34" s="707"/>
      <c r="IBA34" s="707"/>
      <c r="IBB34" s="707"/>
      <c r="IBC34" s="707"/>
      <c r="IBD34" s="707"/>
      <c r="IBE34" s="707"/>
      <c r="IBF34" s="707"/>
      <c r="IBG34" s="707"/>
      <c r="IBH34" s="707"/>
      <c r="IBI34" s="707"/>
      <c r="IBJ34" s="707"/>
      <c r="IBK34" s="707"/>
      <c r="IBL34" s="707"/>
      <c r="IBM34" s="707"/>
      <c r="IBN34" s="707"/>
      <c r="IBO34" s="707"/>
      <c r="IBP34" s="707"/>
      <c r="IBQ34" s="707"/>
      <c r="IBR34" s="707"/>
      <c r="IBS34" s="707"/>
      <c r="IBT34" s="707"/>
      <c r="IBU34" s="707"/>
      <c r="IBV34" s="707"/>
      <c r="IBW34" s="707"/>
      <c r="IBX34" s="707"/>
      <c r="IBY34" s="707"/>
      <c r="IBZ34" s="707"/>
      <c r="ICA34" s="707"/>
      <c r="ICB34" s="707"/>
      <c r="ICC34" s="707"/>
      <c r="ICD34" s="707"/>
      <c r="ICE34" s="707"/>
      <c r="ICF34" s="707"/>
      <c r="ICG34" s="707"/>
      <c r="ICH34" s="707"/>
      <c r="ICI34" s="707"/>
      <c r="ICJ34" s="707"/>
      <c r="ICK34" s="707"/>
      <c r="ICL34" s="707"/>
      <c r="ICM34" s="707"/>
      <c r="ICN34" s="707"/>
      <c r="ICO34" s="707"/>
      <c r="ICP34" s="707"/>
      <c r="ICQ34" s="707"/>
      <c r="ICR34" s="707"/>
      <c r="ICS34" s="707"/>
      <c r="ICT34" s="707"/>
      <c r="ICU34" s="707"/>
      <c r="ICV34" s="707"/>
      <c r="ICW34" s="707"/>
      <c r="ICX34" s="707"/>
      <c r="ICY34" s="707"/>
      <c r="ICZ34" s="707"/>
      <c r="IDA34" s="707"/>
      <c r="IDB34" s="707"/>
      <c r="IDC34" s="707"/>
      <c r="IDD34" s="707"/>
      <c r="IDE34" s="707"/>
      <c r="IDF34" s="707"/>
      <c r="IDG34" s="707"/>
      <c r="IDH34" s="707"/>
      <c r="IDI34" s="707"/>
      <c r="IDJ34" s="707"/>
      <c r="IDK34" s="707"/>
      <c r="IDL34" s="707"/>
      <c r="IDM34" s="707"/>
      <c r="IDN34" s="707"/>
      <c r="IDO34" s="707"/>
      <c r="IDP34" s="707"/>
      <c r="IDQ34" s="707"/>
      <c r="IDR34" s="707"/>
      <c r="IDS34" s="707"/>
      <c r="IDT34" s="707"/>
      <c r="IDU34" s="707"/>
      <c r="IDV34" s="707"/>
      <c r="IDW34" s="707"/>
      <c r="IDX34" s="707"/>
      <c r="IDY34" s="707"/>
      <c r="IDZ34" s="707"/>
      <c r="IEA34" s="707"/>
      <c r="IEB34" s="707"/>
      <c r="IEC34" s="707"/>
      <c r="IED34" s="707"/>
      <c r="IEE34" s="707"/>
      <c r="IEF34" s="707"/>
      <c r="IEG34" s="707"/>
      <c r="IEH34" s="707"/>
      <c r="IEI34" s="707"/>
      <c r="IEJ34" s="707"/>
      <c r="IEK34" s="707"/>
      <c r="IEL34" s="707"/>
      <c r="IEM34" s="707"/>
      <c r="IEN34" s="707"/>
      <c r="IEO34" s="707"/>
      <c r="IEP34" s="707"/>
      <c r="IEQ34" s="707"/>
      <c r="IER34" s="707"/>
      <c r="IES34" s="707"/>
      <c r="IET34" s="707"/>
      <c r="IEU34" s="707"/>
      <c r="IEV34" s="707"/>
      <c r="IEW34" s="707"/>
      <c r="IEX34" s="707"/>
      <c r="IEY34" s="707"/>
      <c r="IEZ34" s="707"/>
      <c r="IFA34" s="707"/>
      <c r="IFB34" s="707"/>
      <c r="IFC34" s="707"/>
      <c r="IFD34" s="707"/>
      <c r="IFE34" s="707"/>
      <c r="IFF34" s="707"/>
      <c r="IFG34" s="707"/>
      <c r="IFH34" s="707"/>
      <c r="IFI34" s="707"/>
      <c r="IFJ34" s="707"/>
      <c r="IFK34" s="707"/>
      <c r="IFL34" s="707"/>
      <c r="IFM34" s="707"/>
      <c r="IFN34" s="707"/>
      <c r="IFO34" s="707"/>
      <c r="IFP34" s="707"/>
      <c r="IFQ34" s="707"/>
      <c r="IFR34" s="707"/>
      <c r="IFS34" s="707"/>
      <c r="IFT34" s="707"/>
      <c r="IFU34" s="707"/>
      <c r="IFV34" s="707"/>
      <c r="IFW34" s="707"/>
      <c r="IFX34" s="707"/>
      <c r="IFY34" s="707"/>
      <c r="IFZ34" s="707"/>
      <c r="IGA34" s="707"/>
      <c r="IGB34" s="707"/>
      <c r="IGC34" s="707"/>
      <c r="IGD34" s="707"/>
      <c r="IGE34" s="707"/>
      <c r="IGF34" s="707"/>
      <c r="IGG34" s="707"/>
      <c r="IGH34" s="707"/>
      <c r="IGI34" s="707"/>
      <c r="IGJ34" s="707"/>
      <c r="IGK34" s="707"/>
      <c r="IGL34" s="707"/>
      <c r="IGM34" s="707"/>
      <c r="IGN34" s="707"/>
      <c r="IGO34" s="707"/>
      <c r="IGP34" s="707"/>
      <c r="IGQ34" s="707"/>
      <c r="IGR34" s="707"/>
      <c r="IGS34" s="707"/>
      <c r="IGT34" s="707"/>
      <c r="IGU34" s="707"/>
      <c r="IGV34" s="707"/>
      <c r="IGW34" s="707"/>
      <c r="IGX34" s="707"/>
      <c r="IGY34" s="707"/>
      <c r="IGZ34" s="707"/>
      <c r="IHA34" s="707"/>
      <c r="IHB34" s="707"/>
      <c r="IHC34" s="707"/>
      <c r="IHD34" s="707"/>
      <c r="IHE34" s="707"/>
      <c r="IHF34" s="707"/>
      <c r="IHG34" s="707"/>
      <c r="IHH34" s="707"/>
      <c r="IHI34" s="707"/>
      <c r="IHJ34" s="707"/>
      <c r="IHK34" s="707"/>
      <c r="IHL34" s="707"/>
      <c r="IHM34" s="707"/>
      <c r="IHN34" s="707"/>
      <c r="IHO34" s="707"/>
      <c r="IHP34" s="707"/>
      <c r="IHQ34" s="707"/>
      <c r="IHR34" s="707"/>
      <c r="IHS34" s="707"/>
      <c r="IHT34" s="707"/>
      <c r="IHU34" s="707"/>
      <c r="IHV34" s="707"/>
      <c r="IHW34" s="707"/>
      <c r="IHX34" s="707"/>
      <c r="IHY34" s="707"/>
      <c r="IHZ34" s="707"/>
      <c r="IIA34" s="707"/>
      <c r="IIB34" s="707"/>
      <c r="IIC34" s="707"/>
      <c r="IID34" s="707"/>
      <c r="IIE34" s="707"/>
      <c r="IIF34" s="707"/>
      <c r="IIG34" s="707"/>
      <c r="IIH34" s="707"/>
      <c r="III34" s="707"/>
      <c r="IIJ34" s="707"/>
      <c r="IIK34" s="707"/>
      <c r="IIL34" s="707"/>
      <c r="IIM34" s="707"/>
      <c r="IIN34" s="707"/>
      <c r="IIO34" s="707"/>
      <c r="IIP34" s="707"/>
      <c r="IIQ34" s="707"/>
      <c r="IIR34" s="707"/>
      <c r="IIS34" s="707"/>
      <c r="IIT34" s="707"/>
      <c r="IIU34" s="707"/>
      <c r="IIV34" s="707"/>
      <c r="IIW34" s="707"/>
      <c r="IIX34" s="707"/>
      <c r="IIY34" s="707"/>
      <c r="IIZ34" s="707"/>
      <c r="IJA34" s="707"/>
      <c r="IJB34" s="707"/>
      <c r="IJC34" s="707"/>
      <c r="IJD34" s="707"/>
      <c r="IJE34" s="707"/>
      <c r="IJF34" s="707"/>
      <c r="IJG34" s="707"/>
      <c r="IJH34" s="707"/>
      <c r="IJI34" s="707"/>
      <c r="IJJ34" s="707"/>
      <c r="IJK34" s="707"/>
      <c r="IJL34" s="707"/>
      <c r="IJM34" s="707"/>
      <c r="IJN34" s="707"/>
      <c r="IJO34" s="707"/>
      <c r="IJP34" s="707"/>
      <c r="IJQ34" s="707"/>
      <c r="IJR34" s="707"/>
      <c r="IJS34" s="707"/>
      <c r="IJT34" s="707"/>
      <c r="IJU34" s="707"/>
      <c r="IJV34" s="707"/>
      <c r="IJW34" s="707"/>
      <c r="IJX34" s="707"/>
      <c r="IJY34" s="707"/>
      <c r="IJZ34" s="707"/>
      <c r="IKA34" s="707"/>
      <c r="IKB34" s="707"/>
      <c r="IKC34" s="707"/>
      <c r="IKD34" s="707"/>
      <c r="IKE34" s="707"/>
      <c r="IKF34" s="707"/>
      <c r="IKG34" s="707"/>
      <c r="IKH34" s="707"/>
      <c r="IKI34" s="707"/>
      <c r="IKJ34" s="707"/>
      <c r="IKK34" s="707"/>
      <c r="IKL34" s="707"/>
      <c r="IKM34" s="707"/>
      <c r="IKN34" s="707"/>
      <c r="IKO34" s="707"/>
      <c r="IKP34" s="707"/>
      <c r="IKQ34" s="707"/>
      <c r="IKR34" s="707"/>
      <c r="IKS34" s="707"/>
      <c r="IKT34" s="707"/>
      <c r="IKU34" s="707"/>
      <c r="IKV34" s="707"/>
      <c r="IKW34" s="707"/>
      <c r="IKX34" s="707"/>
      <c r="IKY34" s="707"/>
      <c r="IKZ34" s="707"/>
      <c r="ILA34" s="707"/>
      <c r="ILB34" s="707"/>
      <c r="ILC34" s="707"/>
      <c r="ILD34" s="707"/>
      <c r="ILE34" s="707"/>
      <c r="ILF34" s="707"/>
      <c r="ILG34" s="707"/>
      <c r="ILH34" s="707"/>
      <c r="ILI34" s="707"/>
      <c r="ILJ34" s="707"/>
      <c r="ILK34" s="707"/>
      <c r="ILL34" s="707"/>
      <c r="ILM34" s="707"/>
      <c r="ILN34" s="707"/>
      <c r="ILO34" s="707"/>
      <c r="ILP34" s="707"/>
      <c r="ILQ34" s="707"/>
      <c r="ILR34" s="707"/>
      <c r="ILS34" s="707"/>
      <c r="ILT34" s="707"/>
      <c r="ILU34" s="707"/>
      <c r="ILV34" s="707"/>
      <c r="ILW34" s="707"/>
      <c r="ILX34" s="707"/>
      <c r="ILY34" s="707"/>
      <c r="ILZ34" s="707"/>
      <c r="IMA34" s="707"/>
      <c r="IMB34" s="707"/>
      <c r="IMC34" s="707"/>
      <c r="IMD34" s="707"/>
      <c r="IME34" s="707"/>
      <c r="IMF34" s="707"/>
      <c r="IMG34" s="707"/>
      <c r="IMH34" s="707"/>
      <c r="IMI34" s="707"/>
      <c r="IMJ34" s="707"/>
      <c r="IMK34" s="707"/>
      <c r="IML34" s="707"/>
      <c r="IMM34" s="707"/>
      <c r="IMN34" s="707"/>
      <c r="IMO34" s="707"/>
      <c r="IMP34" s="707"/>
      <c r="IMQ34" s="707"/>
      <c r="IMR34" s="707"/>
      <c r="IMS34" s="707"/>
      <c r="IMT34" s="707"/>
      <c r="IMU34" s="707"/>
      <c r="IMV34" s="707"/>
      <c r="IMW34" s="707"/>
      <c r="IMX34" s="707"/>
      <c r="IMY34" s="707"/>
      <c r="IMZ34" s="707"/>
      <c r="INA34" s="707"/>
      <c r="INB34" s="707"/>
      <c r="INC34" s="707"/>
      <c r="IND34" s="707"/>
      <c r="INE34" s="707"/>
      <c r="INF34" s="707"/>
      <c r="ING34" s="707"/>
      <c r="INH34" s="707"/>
      <c r="INI34" s="707"/>
      <c r="INJ34" s="707"/>
      <c r="INK34" s="707"/>
      <c r="INL34" s="707"/>
      <c r="INM34" s="707"/>
      <c r="INN34" s="707"/>
      <c r="INO34" s="707"/>
      <c r="INP34" s="707"/>
      <c r="INQ34" s="707"/>
      <c r="INR34" s="707"/>
      <c r="INS34" s="707"/>
      <c r="INT34" s="707"/>
      <c r="INU34" s="707"/>
      <c r="INV34" s="707"/>
      <c r="INW34" s="707"/>
      <c r="INX34" s="707"/>
      <c r="INY34" s="707"/>
      <c r="INZ34" s="707"/>
      <c r="IOA34" s="707"/>
      <c r="IOB34" s="707"/>
      <c r="IOC34" s="707"/>
      <c r="IOD34" s="707"/>
      <c r="IOE34" s="707"/>
      <c r="IOF34" s="707"/>
      <c r="IOG34" s="707"/>
      <c r="IOH34" s="707"/>
      <c r="IOI34" s="707"/>
      <c r="IOJ34" s="707"/>
      <c r="IOK34" s="707"/>
      <c r="IOL34" s="707"/>
      <c r="IOM34" s="707"/>
      <c r="ION34" s="707"/>
      <c r="IOO34" s="707"/>
      <c r="IOP34" s="707"/>
      <c r="IOQ34" s="707"/>
      <c r="IOR34" s="707"/>
      <c r="IOS34" s="707"/>
      <c r="IOT34" s="707"/>
      <c r="IOU34" s="707"/>
      <c r="IOV34" s="707"/>
      <c r="IOW34" s="707"/>
      <c r="IOX34" s="707"/>
      <c r="IOY34" s="707"/>
      <c r="IOZ34" s="707"/>
      <c r="IPA34" s="707"/>
      <c r="IPB34" s="707"/>
      <c r="IPC34" s="707"/>
      <c r="IPD34" s="707"/>
      <c r="IPE34" s="707"/>
      <c r="IPF34" s="707"/>
      <c r="IPG34" s="707"/>
      <c r="IPH34" s="707"/>
      <c r="IPI34" s="707"/>
      <c r="IPJ34" s="707"/>
      <c r="IPK34" s="707"/>
      <c r="IPL34" s="707"/>
      <c r="IPM34" s="707"/>
      <c r="IPN34" s="707"/>
      <c r="IPO34" s="707"/>
      <c r="IPP34" s="707"/>
      <c r="IPQ34" s="707"/>
      <c r="IPR34" s="707"/>
      <c r="IPS34" s="707"/>
      <c r="IPT34" s="707"/>
      <c r="IPU34" s="707"/>
      <c r="IPV34" s="707"/>
      <c r="IPW34" s="707"/>
      <c r="IPX34" s="707"/>
      <c r="IPY34" s="707"/>
      <c r="IPZ34" s="707"/>
      <c r="IQA34" s="707"/>
      <c r="IQB34" s="707"/>
      <c r="IQC34" s="707"/>
      <c r="IQD34" s="707"/>
      <c r="IQE34" s="707"/>
      <c r="IQF34" s="707"/>
      <c r="IQG34" s="707"/>
      <c r="IQH34" s="707"/>
      <c r="IQI34" s="707"/>
      <c r="IQJ34" s="707"/>
      <c r="IQK34" s="707"/>
      <c r="IQL34" s="707"/>
      <c r="IQM34" s="707"/>
      <c r="IQN34" s="707"/>
      <c r="IQO34" s="707"/>
      <c r="IQP34" s="707"/>
      <c r="IQQ34" s="707"/>
      <c r="IQR34" s="707"/>
      <c r="IQS34" s="707"/>
      <c r="IQT34" s="707"/>
      <c r="IQU34" s="707"/>
      <c r="IQV34" s="707"/>
      <c r="IQW34" s="707"/>
      <c r="IQX34" s="707"/>
      <c r="IQY34" s="707"/>
      <c r="IQZ34" s="707"/>
      <c r="IRA34" s="707"/>
      <c r="IRB34" s="707"/>
      <c r="IRC34" s="707"/>
      <c r="IRD34" s="707"/>
      <c r="IRE34" s="707"/>
      <c r="IRF34" s="707"/>
      <c r="IRG34" s="707"/>
      <c r="IRH34" s="707"/>
      <c r="IRI34" s="707"/>
      <c r="IRJ34" s="707"/>
      <c r="IRK34" s="707"/>
      <c r="IRL34" s="707"/>
      <c r="IRM34" s="707"/>
      <c r="IRN34" s="707"/>
      <c r="IRO34" s="707"/>
      <c r="IRP34" s="707"/>
      <c r="IRQ34" s="707"/>
      <c r="IRR34" s="707"/>
      <c r="IRS34" s="707"/>
      <c r="IRT34" s="707"/>
      <c r="IRU34" s="707"/>
      <c r="IRV34" s="707"/>
      <c r="IRW34" s="707"/>
      <c r="IRX34" s="707"/>
      <c r="IRY34" s="707"/>
      <c r="IRZ34" s="707"/>
      <c r="ISA34" s="707"/>
      <c r="ISB34" s="707"/>
      <c r="ISC34" s="707"/>
      <c r="ISD34" s="707"/>
      <c r="ISE34" s="707"/>
      <c r="ISF34" s="707"/>
      <c r="ISG34" s="707"/>
      <c r="ISH34" s="707"/>
      <c r="ISI34" s="707"/>
      <c r="ISJ34" s="707"/>
      <c r="ISK34" s="707"/>
      <c r="ISL34" s="707"/>
      <c r="ISM34" s="707"/>
      <c r="ISN34" s="707"/>
      <c r="ISO34" s="707"/>
      <c r="ISP34" s="707"/>
      <c r="ISQ34" s="707"/>
      <c r="ISR34" s="707"/>
      <c r="ISS34" s="707"/>
      <c r="IST34" s="707"/>
      <c r="ISU34" s="707"/>
      <c r="ISV34" s="707"/>
      <c r="ISW34" s="707"/>
      <c r="ISX34" s="707"/>
      <c r="ISY34" s="707"/>
      <c r="ISZ34" s="707"/>
      <c r="ITA34" s="707"/>
      <c r="ITB34" s="707"/>
      <c r="ITC34" s="707"/>
      <c r="ITD34" s="707"/>
      <c r="ITE34" s="707"/>
      <c r="ITF34" s="707"/>
      <c r="ITG34" s="707"/>
      <c r="ITH34" s="707"/>
      <c r="ITI34" s="707"/>
      <c r="ITJ34" s="707"/>
      <c r="ITK34" s="707"/>
      <c r="ITL34" s="707"/>
      <c r="ITM34" s="707"/>
      <c r="ITN34" s="707"/>
      <c r="ITO34" s="707"/>
      <c r="ITP34" s="707"/>
      <c r="ITQ34" s="707"/>
      <c r="ITR34" s="707"/>
      <c r="ITS34" s="707"/>
      <c r="ITT34" s="707"/>
      <c r="ITU34" s="707"/>
      <c r="ITV34" s="707"/>
      <c r="ITW34" s="707"/>
      <c r="ITX34" s="707"/>
      <c r="ITY34" s="707"/>
      <c r="ITZ34" s="707"/>
      <c r="IUA34" s="707"/>
      <c r="IUB34" s="707"/>
      <c r="IUC34" s="707"/>
      <c r="IUD34" s="707"/>
      <c r="IUE34" s="707"/>
      <c r="IUF34" s="707"/>
      <c r="IUG34" s="707"/>
      <c r="IUH34" s="707"/>
      <c r="IUI34" s="707"/>
      <c r="IUJ34" s="707"/>
      <c r="IUK34" s="707"/>
      <c r="IUL34" s="707"/>
      <c r="IUM34" s="707"/>
      <c r="IUN34" s="707"/>
      <c r="IUO34" s="707"/>
      <c r="IUP34" s="707"/>
      <c r="IUQ34" s="707"/>
      <c r="IUR34" s="707"/>
      <c r="IUS34" s="707"/>
      <c r="IUT34" s="707"/>
      <c r="IUU34" s="707"/>
      <c r="IUV34" s="707"/>
      <c r="IUW34" s="707"/>
      <c r="IUX34" s="707"/>
      <c r="IUY34" s="707"/>
      <c r="IUZ34" s="707"/>
      <c r="IVA34" s="707"/>
      <c r="IVB34" s="707"/>
      <c r="IVC34" s="707"/>
      <c r="IVD34" s="707"/>
      <c r="IVE34" s="707"/>
      <c r="IVF34" s="707"/>
      <c r="IVG34" s="707"/>
      <c r="IVH34" s="707"/>
      <c r="IVI34" s="707"/>
      <c r="IVJ34" s="707"/>
      <c r="IVK34" s="707"/>
      <c r="IVL34" s="707"/>
      <c r="IVM34" s="707"/>
      <c r="IVN34" s="707"/>
      <c r="IVO34" s="707"/>
      <c r="IVP34" s="707"/>
      <c r="IVQ34" s="707"/>
      <c r="IVR34" s="707"/>
      <c r="IVS34" s="707"/>
      <c r="IVT34" s="707"/>
      <c r="IVU34" s="707"/>
      <c r="IVV34" s="707"/>
      <c r="IVW34" s="707"/>
      <c r="IVX34" s="707"/>
      <c r="IVY34" s="707"/>
      <c r="IVZ34" s="707"/>
      <c r="IWA34" s="707"/>
      <c r="IWB34" s="707"/>
      <c r="IWC34" s="707"/>
      <c r="IWD34" s="707"/>
      <c r="IWE34" s="707"/>
      <c r="IWF34" s="707"/>
      <c r="IWG34" s="707"/>
      <c r="IWH34" s="707"/>
      <c r="IWI34" s="707"/>
      <c r="IWJ34" s="707"/>
      <c r="IWK34" s="707"/>
      <c r="IWL34" s="707"/>
      <c r="IWM34" s="707"/>
      <c r="IWN34" s="707"/>
      <c r="IWO34" s="707"/>
      <c r="IWP34" s="707"/>
      <c r="IWQ34" s="707"/>
      <c r="IWR34" s="707"/>
      <c r="IWS34" s="707"/>
      <c r="IWT34" s="707"/>
      <c r="IWU34" s="707"/>
      <c r="IWV34" s="707"/>
      <c r="IWW34" s="707"/>
      <c r="IWX34" s="707"/>
      <c r="IWY34" s="707"/>
      <c r="IWZ34" s="707"/>
      <c r="IXA34" s="707"/>
      <c r="IXB34" s="707"/>
      <c r="IXC34" s="707"/>
      <c r="IXD34" s="707"/>
      <c r="IXE34" s="707"/>
      <c r="IXF34" s="707"/>
      <c r="IXG34" s="707"/>
      <c r="IXH34" s="707"/>
      <c r="IXI34" s="707"/>
      <c r="IXJ34" s="707"/>
      <c r="IXK34" s="707"/>
      <c r="IXL34" s="707"/>
      <c r="IXM34" s="707"/>
      <c r="IXN34" s="707"/>
      <c r="IXO34" s="707"/>
      <c r="IXP34" s="707"/>
      <c r="IXQ34" s="707"/>
      <c r="IXR34" s="707"/>
      <c r="IXS34" s="707"/>
      <c r="IXT34" s="707"/>
      <c r="IXU34" s="707"/>
      <c r="IXV34" s="707"/>
      <c r="IXW34" s="707"/>
      <c r="IXX34" s="707"/>
      <c r="IXY34" s="707"/>
      <c r="IXZ34" s="707"/>
      <c r="IYA34" s="707"/>
      <c r="IYB34" s="707"/>
      <c r="IYC34" s="707"/>
      <c r="IYD34" s="707"/>
      <c r="IYE34" s="707"/>
      <c r="IYF34" s="707"/>
      <c r="IYG34" s="707"/>
      <c r="IYH34" s="707"/>
      <c r="IYI34" s="707"/>
      <c r="IYJ34" s="707"/>
      <c r="IYK34" s="707"/>
      <c r="IYL34" s="707"/>
      <c r="IYM34" s="707"/>
      <c r="IYN34" s="707"/>
      <c r="IYO34" s="707"/>
      <c r="IYP34" s="707"/>
      <c r="IYQ34" s="707"/>
      <c r="IYR34" s="707"/>
      <c r="IYS34" s="707"/>
      <c r="IYT34" s="707"/>
      <c r="IYU34" s="707"/>
      <c r="IYV34" s="707"/>
      <c r="IYW34" s="707"/>
      <c r="IYX34" s="707"/>
      <c r="IYY34" s="707"/>
      <c r="IYZ34" s="707"/>
      <c r="IZA34" s="707"/>
      <c r="IZB34" s="707"/>
      <c r="IZC34" s="707"/>
      <c r="IZD34" s="707"/>
      <c r="IZE34" s="707"/>
      <c r="IZF34" s="707"/>
      <c r="IZG34" s="707"/>
      <c r="IZH34" s="707"/>
      <c r="IZI34" s="707"/>
      <c r="IZJ34" s="707"/>
      <c r="IZK34" s="707"/>
      <c r="IZL34" s="707"/>
      <c r="IZM34" s="707"/>
      <c r="IZN34" s="707"/>
      <c r="IZO34" s="707"/>
      <c r="IZP34" s="707"/>
      <c r="IZQ34" s="707"/>
      <c r="IZR34" s="707"/>
      <c r="IZS34" s="707"/>
      <c r="IZT34" s="707"/>
      <c r="IZU34" s="707"/>
      <c r="IZV34" s="707"/>
      <c r="IZW34" s="707"/>
      <c r="IZX34" s="707"/>
      <c r="IZY34" s="707"/>
      <c r="IZZ34" s="707"/>
      <c r="JAA34" s="707"/>
      <c r="JAB34" s="707"/>
      <c r="JAC34" s="707"/>
      <c r="JAD34" s="707"/>
      <c r="JAE34" s="707"/>
      <c r="JAF34" s="707"/>
      <c r="JAG34" s="707"/>
      <c r="JAH34" s="707"/>
      <c r="JAI34" s="707"/>
      <c r="JAJ34" s="707"/>
      <c r="JAK34" s="707"/>
      <c r="JAL34" s="707"/>
      <c r="JAM34" s="707"/>
      <c r="JAN34" s="707"/>
      <c r="JAO34" s="707"/>
      <c r="JAP34" s="707"/>
      <c r="JAQ34" s="707"/>
      <c r="JAR34" s="707"/>
      <c r="JAS34" s="707"/>
      <c r="JAT34" s="707"/>
      <c r="JAU34" s="707"/>
      <c r="JAV34" s="707"/>
      <c r="JAW34" s="707"/>
      <c r="JAX34" s="707"/>
      <c r="JAY34" s="707"/>
      <c r="JAZ34" s="707"/>
      <c r="JBA34" s="707"/>
      <c r="JBB34" s="707"/>
      <c r="JBC34" s="707"/>
      <c r="JBD34" s="707"/>
      <c r="JBE34" s="707"/>
      <c r="JBF34" s="707"/>
      <c r="JBG34" s="707"/>
      <c r="JBH34" s="707"/>
      <c r="JBI34" s="707"/>
      <c r="JBJ34" s="707"/>
      <c r="JBK34" s="707"/>
      <c r="JBL34" s="707"/>
      <c r="JBM34" s="707"/>
      <c r="JBN34" s="707"/>
      <c r="JBO34" s="707"/>
      <c r="JBP34" s="707"/>
      <c r="JBQ34" s="707"/>
      <c r="JBR34" s="707"/>
      <c r="JBS34" s="707"/>
      <c r="JBT34" s="707"/>
      <c r="JBU34" s="707"/>
      <c r="JBV34" s="707"/>
      <c r="JBW34" s="707"/>
      <c r="JBX34" s="707"/>
      <c r="JBY34" s="707"/>
      <c r="JBZ34" s="707"/>
      <c r="JCA34" s="707"/>
      <c r="JCB34" s="707"/>
      <c r="JCC34" s="707"/>
      <c r="JCD34" s="707"/>
      <c r="JCE34" s="707"/>
      <c r="JCF34" s="707"/>
      <c r="JCG34" s="707"/>
      <c r="JCH34" s="707"/>
      <c r="JCI34" s="707"/>
      <c r="JCJ34" s="707"/>
      <c r="JCK34" s="707"/>
      <c r="JCL34" s="707"/>
      <c r="JCM34" s="707"/>
      <c r="JCN34" s="707"/>
      <c r="JCO34" s="707"/>
      <c r="JCP34" s="707"/>
      <c r="JCQ34" s="707"/>
      <c r="JCR34" s="707"/>
      <c r="JCS34" s="707"/>
      <c r="JCT34" s="707"/>
      <c r="JCU34" s="707"/>
      <c r="JCV34" s="707"/>
      <c r="JCW34" s="707"/>
      <c r="JCX34" s="707"/>
      <c r="JCY34" s="707"/>
      <c r="JCZ34" s="707"/>
      <c r="JDA34" s="707"/>
      <c r="JDB34" s="707"/>
      <c r="JDC34" s="707"/>
      <c r="JDD34" s="707"/>
      <c r="JDE34" s="707"/>
      <c r="JDF34" s="707"/>
      <c r="JDG34" s="707"/>
      <c r="JDH34" s="707"/>
      <c r="JDI34" s="707"/>
      <c r="JDJ34" s="707"/>
      <c r="JDK34" s="707"/>
      <c r="JDL34" s="707"/>
      <c r="JDM34" s="707"/>
      <c r="JDN34" s="707"/>
      <c r="JDO34" s="707"/>
      <c r="JDP34" s="707"/>
      <c r="JDQ34" s="707"/>
      <c r="JDR34" s="707"/>
      <c r="JDS34" s="707"/>
      <c r="JDT34" s="707"/>
      <c r="JDU34" s="707"/>
      <c r="JDV34" s="707"/>
      <c r="JDW34" s="707"/>
      <c r="JDX34" s="707"/>
      <c r="JDY34" s="707"/>
      <c r="JDZ34" s="707"/>
      <c r="JEA34" s="707"/>
      <c r="JEB34" s="707"/>
      <c r="JEC34" s="707"/>
      <c r="JED34" s="707"/>
      <c r="JEE34" s="707"/>
      <c r="JEF34" s="707"/>
      <c r="JEG34" s="707"/>
      <c r="JEH34" s="707"/>
      <c r="JEI34" s="707"/>
      <c r="JEJ34" s="707"/>
      <c r="JEK34" s="707"/>
      <c r="JEL34" s="707"/>
      <c r="JEM34" s="707"/>
      <c r="JEN34" s="707"/>
      <c r="JEO34" s="707"/>
      <c r="JEP34" s="707"/>
      <c r="JEQ34" s="707"/>
      <c r="JER34" s="707"/>
      <c r="JES34" s="707"/>
      <c r="JET34" s="707"/>
      <c r="JEU34" s="707"/>
      <c r="JEV34" s="707"/>
      <c r="JEW34" s="707"/>
      <c r="JEX34" s="707"/>
      <c r="JEY34" s="707"/>
      <c r="JEZ34" s="707"/>
      <c r="JFA34" s="707"/>
      <c r="JFB34" s="707"/>
      <c r="JFC34" s="707"/>
      <c r="JFD34" s="707"/>
      <c r="JFE34" s="707"/>
      <c r="JFF34" s="707"/>
      <c r="JFG34" s="707"/>
      <c r="JFH34" s="707"/>
      <c r="JFI34" s="707"/>
      <c r="JFJ34" s="707"/>
      <c r="JFK34" s="707"/>
      <c r="JFL34" s="707"/>
      <c r="JFM34" s="707"/>
      <c r="JFN34" s="707"/>
      <c r="JFO34" s="707"/>
      <c r="JFP34" s="707"/>
      <c r="JFQ34" s="707"/>
      <c r="JFR34" s="707"/>
      <c r="JFS34" s="707"/>
      <c r="JFT34" s="707"/>
      <c r="JFU34" s="707"/>
      <c r="JFV34" s="707"/>
      <c r="JFW34" s="707"/>
      <c r="JFX34" s="707"/>
      <c r="JFY34" s="707"/>
      <c r="JFZ34" s="707"/>
      <c r="JGA34" s="707"/>
      <c r="JGB34" s="707"/>
      <c r="JGC34" s="707"/>
      <c r="JGD34" s="707"/>
      <c r="JGE34" s="707"/>
      <c r="JGF34" s="707"/>
      <c r="JGG34" s="707"/>
      <c r="JGH34" s="707"/>
      <c r="JGI34" s="707"/>
      <c r="JGJ34" s="707"/>
      <c r="JGK34" s="707"/>
      <c r="JGL34" s="707"/>
      <c r="JGM34" s="707"/>
      <c r="JGN34" s="707"/>
      <c r="JGO34" s="707"/>
      <c r="JGP34" s="707"/>
      <c r="JGQ34" s="707"/>
      <c r="JGR34" s="707"/>
      <c r="JGS34" s="707"/>
      <c r="JGT34" s="707"/>
      <c r="JGU34" s="707"/>
      <c r="JGV34" s="707"/>
      <c r="JGW34" s="707"/>
      <c r="JGX34" s="707"/>
      <c r="JGY34" s="707"/>
      <c r="JGZ34" s="707"/>
      <c r="JHA34" s="707"/>
      <c r="JHB34" s="707"/>
      <c r="JHC34" s="707"/>
      <c r="JHD34" s="707"/>
      <c r="JHE34" s="707"/>
      <c r="JHF34" s="707"/>
      <c r="JHG34" s="707"/>
      <c r="JHH34" s="707"/>
      <c r="JHI34" s="707"/>
      <c r="JHJ34" s="707"/>
      <c r="JHK34" s="707"/>
      <c r="JHL34" s="707"/>
      <c r="JHM34" s="707"/>
      <c r="JHN34" s="707"/>
      <c r="JHO34" s="707"/>
      <c r="JHP34" s="707"/>
      <c r="JHQ34" s="707"/>
      <c r="JHR34" s="707"/>
      <c r="JHS34" s="707"/>
      <c r="JHT34" s="707"/>
      <c r="JHU34" s="707"/>
      <c r="JHV34" s="707"/>
      <c r="JHW34" s="707"/>
      <c r="JHX34" s="707"/>
      <c r="JHY34" s="707"/>
      <c r="JHZ34" s="707"/>
      <c r="JIA34" s="707"/>
      <c r="JIB34" s="707"/>
      <c r="JIC34" s="707"/>
      <c r="JID34" s="707"/>
      <c r="JIE34" s="707"/>
      <c r="JIF34" s="707"/>
      <c r="JIG34" s="707"/>
      <c r="JIH34" s="707"/>
      <c r="JII34" s="707"/>
      <c r="JIJ34" s="707"/>
      <c r="JIK34" s="707"/>
      <c r="JIL34" s="707"/>
      <c r="JIM34" s="707"/>
      <c r="JIN34" s="707"/>
      <c r="JIO34" s="707"/>
      <c r="JIP34" s="707"/>
      <c r="JIQ34" s="707"/>
      <c r="JIR34" s="707"/>
      <c r="JIS34" s="707"/>
      <c r="JIT34" s="707"/>
      <c r="JIU34" s="707"/>
      <c r="JIV34" s="707"/>
      <c r="JIW34" s="707"/>
      <c r="JIX34" s="707"/>
      <c r="JIY34" s="707"/>
      <c r="JIZ34" s="707"/>
      <c r="JJA34" s="707"/>
      <c r="JJB34" s="707"/>
      <c r="JJC34" s="707"/>
      <c r="JJD34" s="707"/>
      <c r="JJE34" s="707"/>
      <c r="JJF34" s="707"/>
      <c r="JJG34" s="707"/>
      <c r="JJH34" s="707"/>
      <c r="JJI34" s="707"/>
      <c r="JJJ34" s="707"/>
      <c r="JJK34" s="707"/>
      <c r="JJL34" s="707"/>
      <c r="JJM34" s="707"/>
      <c r="JJN34" s="707"/>
      <c r="JJO34" s="707"/>
      <c r="JJP34" s="707"/>
      <c r="JJQ34" s="707"/>
      <c r="JJR34" s="707"/>
      <c r="JJS34" s="707"/>
      <c r="JJT34" s="707"/>
      <c r="JJU34" s="707"/>
      <c r="JJV34" s="707"/>
      <c r="JJW34" s="707"/>
      <c r="JJX34" s="707"/>
      <c r="JJY34" s="707"/>
      <c r="JJZ34" s="707"/>
      <c r="JKA34" s="707"/>
      <c r="JKB34" s="707"/>
      <c r="JKC34" s="707"/>
      <c r="JKD34" s="707"/>
      <c r="JKE34" s="707"/>
      <c r="JKF34" s="707"/>
      <c r="JKG34" s="707"/>
      <c r="JKH34" s="707"/>
      <c r="JKI34" s="707"/>
      <c r="JKJ34" s="707"/>
      <c r="JKK34" s="707"/>
      <c r="JKL34" s="707"/>
      <c r="JKM34" s="707"/>
      <c r="JKN34" s="707"/>
      <c r="JKO34" s="707"/>
      <c r="JKP34" s="707"/>
      <c r="JKQ34" s="707"/>
      <c r="JKR34" s="707"/>
      <c r="JKS34" s="707"/>
      <c r="JKT34" s="707"/>
      <c r="JKU34" s="707"/>
      <c r="JKV34" s="707"/>
      <c r="JKW34" s="707"/>
      <c r="JKX34" s="707"/>
      <c r="JKY34" s="707"/>
      <c r="JKZ34" s="707"/>
      <c r="JLA34" s="707"/>
      <c r="JLB34" s="707"/>
      <c r="JLC34" s="707"/>
      <c r="JLD34" s="707"/>
      <c r="JLE34" s="707"/>
      <c r="JLF34" s="707"/>
      <c r="JLG34" s="707"/>
      <c r="JLH34" s="707"/>
      <c r="JLI34" s="707"/>
      <c r="JLJ34" s="707"/>
      <c r="JLK34" s="707"/>
      <c r="JLL34" s="707"/>
      <c r="JLM34" s="707"/>
      <c r="JLN34" s="707"/>
      <c r="JLO34" s="707"/>
      <c r="JLP34" s="707"/>
      <c r="JLQ34" s="707"/>
      <c r="JLR34" s="707"/>
      <c r="JLS34" s="707"/>
      <c r="JLT34" s="707"/>
      <c r="JLU34" s="707"/>
      <c r="JLV34" s="707"/>
      <c r="JLW34" s="707"/>
      <c r="JLX34" s="707"/>
      <c r="JLY34" s="707"/>
      <c r="JLZ34" s="707"/>
      <c r="JMA34" s="707"/>
      <c r="JMB34" s="707"/>
      <c r="JMC34" s="707"/>
      <c r="JMD34" s="707"/>
      <c r="JME34" s="707"/>
      <c r="JMF34" s="707"/>
      <c r="JMG34" s="707"/>
      <c r="JMH34" s="707"/>
      <c r="JMI34" s="707"/>
      <c r="JMJ34" s="707"/>
      <c r="JMK34" s="707"/>
      <c r="JML34" s="707"/>
      <c r="JMM34" s="707"/>
      <c r="JMN34" s="707"/>
      <c r="JMO34" s="707"/>
      <c r="JMP34" s="707"/>
      <c r="JMQ34" s="707"/>
      <c r="JMR34" s="707"/>
      <c r="JMS34" s="707"/>
      <c r="JMT34" s="707"/>
      <c r="JMU34" s="707"/>
      <c r="JMV34" s="707"/>
      <c r="JMW34" s="707"/>
      <c r="JMX34" s="707"/>
      <c r="JMY34" s="707"/>
      <c r="JMZ34" s="707"/>
      <c r="JNA34" s="707"/>
      <c r="JNB34" s="707"/>
      <c r="JNC34" s="707"/>
      <c r="JND34" s="707"/>
      <c r="JNE34" s="707"/>
      <c r="JNF34" s="707"/>
      <c r="JNG34" s="707"/>
      <c r="JNH34" s="707"/>
      <c r="JNI34" s="707"/>
      <c r="JNJ34" s="707"/>
      <c r="JNK34" s="707"/>
      <c r="JNL34" s="707"/>
      <c r="JNM34" s="707"/>
      <c r="JNN34" s="707"/>
      <c r="JNO34" s="707"/>
      <c r="JNP34" s="707"/>
      <c r="JNQ34" s="707"/>
      <c r="JNR34" s="707"/>
      <c r="JNS34" s="707"/>
      <c r="JNT34" s="707"/>
      <c r="JNU34" s="707"/>
      <c r="JNV34" s="707"/>
      <c r="JNW34" s="707"/>
      <c r="JNX34" s="707"/>
      <c r="JNY34" s="707"/>
      <c r="JNZ34" s="707"/>
      <c r="JOA34" s="707"/>
      <c r="JOB34" s="707"/>
      <c r="JOC34" s="707"/>
      <c r="JOD34" s="707"/>
      <c r="JOE34" s="707"/>
      <c r="JOF34" s="707"/>
      <c r="JOG34" s="707"/>
      <c r="JOH34" s="707"/>
      <c r="JOI34" s="707"/>
      <c r="JOJ34" s="707"/>
      <c r="JOK34" s="707"/>
      <c r="JOL34" s="707"/>
      <c r="JOM34" s="707"/>
      <c r="JON34" s="707"/>
      <c r="JOO34" s="707"/>
      <c r="JOP34" s="707"/>
      <c r="JOQ34" s="707"/>
      <c r="JOR34" s="707"/>
      <c r="JOS34" s="707"/>
      <c r="JOT34" s="707"/>
      <c r="JOU34" s="707"/>
      <c r="JOV34" s="707"/>
      <c r="JOW34" s="707"/>
      <c r="JOX34" s="707"/>
      <c r="JOY34" s="707"/>
      <c r="JOZ34" s="707"/>
      <c r="JPA34" s="707"/>
      <c r="JPB34" s="707"/>
      <c r="JPC34" s="707"/>
      <c r="JPD34" s="707"/>
      <c r="JPE34" s="707"/>
      <c r="JPF34" s="707"/>
      <c r="JPG34" s="707"/>
      <c r="JPH34" s="707"/>
      <c r="JPI34" s="707"/>
      <c r="JPJ34" s="707"/>
      <c r="JPK34" s="707"/>
      <c r="JPL34" s="707"/>
      <c r="JPM34" s="707"/>
      <c r="JPN34" s="707"/>
      <c r="JPO34" s="707"/>
      <c r="JPP34" s="707"/>
      <c r="JPQ34" s="707"/>
      <c r="JPR34" s="707"/>
      <c r="JPS34" s="707"/>
      <c r="JPT34" s="707"/>
      <c r="JPU34" s="707"/>
      <c r="JPV34" s="707"/>
      <c r="JPW34" s="707"/>
      <c r="JPX34" s="707"/>
      <c r="JPY34" s="707"/>
      <c r="JPZ34" s="707"/>
      <c r="JQA34" s="707"/>
      <c r="JQB34" s="707"/>
      <c r="JQC34" s="707"/>
      <c r="JQD34" s="707"/>
      <c r="JQE34" s="707"/>
      <c r="JQF34" s="707"/>
      <c r="JQG34" s="707"/>
      <c r="JQH34" s="707"/>
      <c r="JQI34" s="707"/>
      <c r="JQJ34" s="707"/>
      <c r="JQK34" s="707"/>
      <c r="JQL34" s="707"/>
      <c r="JQM34" s="707"/>
      <c r="JQN34" s="707"/>
      <c r="JQO34" s="707"/>
      <c r="JQP34" s="707"/>
      <c r="JQQ34" s="707"/>
      <c r="JQR34" s="707"/>
      <c r="JQS34" s="707"/>
      <c r="JQT34" s="707"/>
      <c r="JQU34" s="707"/>
      <c r="JQV34" s="707"/>
      <c r="JQW34" s="707"/>
      <c r="JQX34" s="707"/>
      <c r="JQY34" s="707"/>
      <c r="JQZ34" s="707"/>
      <c r="JRA34" s="707"/>
      <c r="JRB34" s="707"/>
      <c r="JRC34" s="707"/>
      <c r="JRD34" s="707"/>
      <c r="JRE34" s="707"/>
      <c r="JRF34" s="707"/>
      <c r="JRG34" s="707"/>
      <c r="JRH34" s="707"/>
      <c r="JRI34" s="707"/>
      <c r="JRJ34" s="707"/>
      <c r="JRK34" s="707"/>
      <c r="JRL34" s="707"/>
      <c r="JRM34" s="707"/>
      <c r="JRN34" s="707"/>
      <c r="JRO34" s="707"/>
      <c r="JRP34" s="707"/>
      <c r="JRQ34" s="707"/>
      <c r="JRR34" s="707"/>
      <c r="JRS34" s="707"/>
      <c r="JRT34" s="707"/>
      <c r="JRU34" s="707"/>
      <c r="JRV34" s="707"/>
      <c r="JRW34" s="707"/>
      <c r="JRX34" s="707"/>
      <c r="JRY34" s="707"/>
      <c r="JRZ34" s="707"/>
      <c r="JSA34" s="707"/>
      <c r="JSB34" s="707"/>
      <c r="JSC34" s="707"/>
      <c r="JSD34" s="707"/>
      <c r="JSE34" s="707"/>
      <c r="JSF34" s="707"/>
      <c r="JSG34" s="707"/>
      <c r="JSH34" s="707"/>
      <c r="JSI34" s="707"/>
      <c r="JSJ34" s="707"/>
      <c r="JSK34" s="707"/>
      <c r="JSL34" s="707"/>
      <c r="JSM34" s="707"/>
      <c r="JSN34" s="707"/>
      <c r="JSO34" s="707"/>
      <c r="JSP34" s="707"/>
      <c r="JSQ34" s="707"/>
      <c r="JSR34" s="707"/>
      <c r="JSS34" s="707"/>
      <c r="JST34" s="707"/>
      <c r="JSU34" s="707"/>
      <c r="JSV34" s="707"/>
      <c r="JSW34" s="707"/>
      <c r="JSX34" s="707"/>
      <c r="JSY34" s="707"/>
      <c r="JSZ34" s="707"/>
      <c r="JTA34" s="707"/>
      <c r="JTB34" s="707"/>
      <c r="JTC34" s="707"/>
      <c r="JTD34" s="707"/>
      <c r="JTE34" s="707"/>
      <c r="JTF34" s="707"/>
      <c r="JTG34" s="707"/>
      <c r="JTH34" s="707"/>
      <c r="JTI34" s="707"/>
      <c r="JTJ34" s="707"/>
      <c r="JTK34" s="707"/>
      <c r="JTL34" s="707"/>
      <c r="JTM34" s="707"/>
      <c r="JTN34" s="707"/>
      <c r="JTO34" s="707"/>
      <c r="JTP34" s="707"/>
      <c r="JTQ34" s="707"/>
      <c r="JTR34" s="707"/>
      <c r="JTS34" s="707"/>
      <c r="JTT34" s="707"/>
      <c r="JTU34" s="707"/>
      <c r="JTV34" s="707"/>
      <c r="JTW34" s="707"/>
      <c r="JTX34" s="707"/>
      <c r="JTY34" s="707"/>
      <c r="JTZ34" s="707"/>
      <c r="JUA34" s="707"/>
      <c r="JUB34" s="707"/>
      <c r="JUC34" s="707"/>
      <c r="JUD34" s="707"/>
      <c r="JUE34" s="707"/>
      <c r="JUF34" s="707"/>
      <c r="JUG34" s="707"/>
      <c r="JUH34" s="707"/>
      <c r="JUI34" s="707"/>
      <c r="JUJ34" s="707"/>
      <c r="JUK34" s="707"/>
      <c r="JUL34" s="707"/>
      <c r="JUM34" s="707"/>
      <c r="JUN34" s="707"/>
      <c r="JUO34" s="707"/>
      <c r="JUP34" s="707"/>
      <c r="JUQ34" s="707"/>
      <c r="JUR34" s="707"/>
      <c r="JUS34" s="707"/>
      <c r="JUT34" s="707"/>
      <c r="JUU34" s="707"/>
      <c r="JUV34" s="707"/>
      <c r="JUW34" s="707"/>
      <c r="JUX34" s="707"/>
      <c r="JUY34" s="707"/>
      <c r="JUZ34" s="707"/>
      <c r="JVA34" s="707"/>
      <c r="JVB34" s="707"/>
      <c r="JVC34" s="707"/>
      <c r="JVD34" s="707"/>
      <c r="JVE34" s="707"/>
      <c r="JVF34" s="707"/>
      <c r="JVG34" s="707"/>
      <c r="JVH34" s="707"/>
      <c r="JVI34" s="707"/>
      <c r="JVJ34" s="707"/>
      <c r="JVK34" s="707"/>
      <c r="JVL34" s="707"/>
      <c r="JVM34" s="707"/>
      <c r="JVN34" s="707"/>
      <c r="JVO34" s="707"/>
      <c r="JVP34" s="707"/>
      <c r="JVQ34" s="707"/>
      <c r="JVR34" s="707"/>
      <c r="JVS34" s="707"/>
      <c r="JVT34" s="707"/>
      <c r="JVU34" s="707"/>
      <c r="JVV34" s="707"/>
      <c r="JVW34" s="707"/>
      <c r="JVX34" s="707"/>
      <c r="JVY34" s="707"/>
      <c r="JVZ34" s="707"/>
      <c r="JWA34" s="707"/>
      <c r="JWB34" s="707"/>
      <c r="JWC34" s="707"/>
      <c r="JWD34" s="707"/>
      <c r="JWE34" s="707"/>
      <c r="JWF34" s="707"/>
      <c r="JWG34" s="707"/>
      <c r="JWH34" s="707"/>
      <c r="JWI34" s="707"/>
      <c r="JWJ34" s="707"/>
      <c r="JWK34" s="707"/>
      <c r="JWL34" s="707"/>
      <c r="JWM34" s="707"/>
      <c r="JWN34" s="707"/>
      <c r="JWO34" s="707"/>
      <c r="JWP34" s="707"/>
      <c r="JWQ34" s="707"/>
      <c r="JWR34" s="707"/>
      <c r="JWS34" s="707"/>
      <c r="JWT34" s="707"/>
      <c r="JWU34" s="707"/>
      <c r="JWV34" s="707"/>
      <c r="JWW34" s="707"/>
      <c r="JWX34" s="707"/>
      <c r="JWY34" s="707"/>
      <c r="JWZ34" s="707"/>
      <c r="JXA34" s="707"/>
      <c r="JXB34" s="707"/>
      <c r="JXC34" s="707"/>
      <c r="JXD34" s="707"/>
      <c r="JXE34" s="707"/>
      <c r="JXF34" s="707"/>
      <c r="JXG34" s="707"/>
      <c r="JXH34" s="707"/>
      <c r="JXI34" s="707"/>
      <c r="JXJ34" s="707"/>
      <c r="JXK34" s="707"/>
      <c r="JXL34" s="707"/>
      <c r="JXM34" s="707"/>
      <c r="JXN34" s="707"/>
      <c r="JXO34" s="707"/>
      <c r="JXP34" s="707"/>
      <c r="JXQ34" s="707"/>
      <c r="JXR34" s="707"/>
      <c r="JXS34" s="707"/>
      <c r="JXT34" s="707"/>
      <c r="JXU34" s="707"/>
      <c r="JXV34" s="707"/>
      <c r="JXW34" s="707"/>
      <c r="JXX34" s="707"/>
      <c r="JXY34" s="707"/>
      <c r="JXZ34" s="707"/>
      <c r="JYA34" s="707"/>
      <c r="JYB34" s="707"/>
      <c r="JYC34" s="707"/>
      <c r="JYD34" s="707"/>
      <c r="JYE34" s="707"/>
      <c r="JYF34" s="707"/>
      <c r="JYG34" s="707"/>
      <c r="JYH34" s="707"/>
      <c r="JYI34" s="707"/>
      <c r="JYJ34" s="707"/>
      <c r="JYK34" s="707"/>
      <c r="JYL34" s="707"/>
      <c r="JYM34" s="707"/>
      <c r="JYN34" s="707"/>
      <c r="JYO34" s="707"/>
      <c r="JYP34" s="707"/>
      <c r="JYQ34" s="707"/>
      <c r="JYR34" s="707"/>
      <c r="JYS34" s="707"/>
      <c r="JYT34" s="707"/>
      <c r="JYU34" s="707"/>
      <c r="JYV34" s="707"/>
      <c r="JYW34" s="707"/>
      <c r="JYX34" s="707"/>
      <c r="JYY34" s="707"/>
      <c r="JYZ34" s="707"/>
      <c r="JZA34" s="707"/>
      <c r="JZB34" s="707"/>
      <c r="JZC34" s="707"/>
      <c r="JZD34" s="707"/>
      <c r="JZE34" s="707"/>
      <c r="JZF34" s="707"/>
      <c r="JZG34" s="707"/>
      <c r="JZH34" s="707"/>
      <c r="JZI34" s="707"/>
      <c r="JZJ34" s="707"/>
      <c r="JZK34" s="707"/>
      <c r="JZL34" s="707"/>
      <c r="JZM34" s="707"/>
      <c r="JZN34" s="707"/>
      <c r="JZO34" s="707"/>
      <c r="JZP34" s="707"/>
      <c r="JZQ34" s="707"/>
      <c r="JZR34" s="707"/>
      <c r="JZS34" s="707"/>
      <c r="JZT34" s="707"/>
      <c r="JZU34" s="707"/>
      <c r="JZV34" s="707"/>
      <c r="JZW34" s="707"/>
      <c r="JZX34" s="707"/>
      <c r="JZY34" s="707"/>
      <c r="JZZ34" s="707"/>
      <c r="KAA34" s="707"/>
      <c r="KAB34" s="707"/>
      <c r="KAC34" s="707"/>
      <c r="KAD34" s="707"/>
      <c r="KAE34" s="707"/>
      <c r="KAF34" s="707"/>
      <c r="KAG34" s="707"/>
      <c r="KAH34" s="707"/>
      <c r="KAI34" s="707"/>
      <c r="KAJ34" s="707"/>
      <c r="KAK34" s="707"/>
      <c r="KAL34" s="707"/>
      <c r="KAM34" s="707"/>
      <c r="KAN34" s="707"/>
      <c r="KAO34" s="707"/>
      <c r="KAP34" s="707"/>
      <c r="KAQ34" s="707"/>
      <c r="KAR34" s="707"/>
      <c r="KAS34" s="707"/>
      <c r="KAT34" s="707"/>
      <c r="KAU34" s="707"/>
      <c r="KAV34" s="707"/>
      <c r="KAW34" s="707"/>
      <c r="KAX34" s="707"/>
      <c r="KAY34" s="707"/>
      <c r="KAZ34" s="707"/>
      <c r="KBA34" s="707"/>
      <c r="KBB34" s="707"/>
      <c r="KBC34" s="707"/>
      <c r="KBD34" s="707"/>
      <c r="KBE34" s="707"/>
      <c r="KBF34" s="707"/>
      <c r="KBG34" s="707"/>
      <c r="KBH34" s="707"/>
      <c r="KBI34" s="707"/>
      <c r="KBJ34" s="707"/>
      <c r="KBK34" s="707"/>
      <c r="KBL34" s="707"/>
      <c r="KBM34" s="707"/>
      <c r="KBN34" s="707"/>
      <c r="KBO34" s="707"/>
      <c r="KBP34" s="707"/>
      <c r="KBQ34" s="707"/>
      <c r="KBR34" s="707"/>
      <c r="KBS34" s="707"/>
      <c r="KBT34" s="707"/>
      <c r="KBU34" s="707"/>
      <c r="KBV34" s="707"/>
      <c r="KBW34" s="707"/>
      <c r="KBX34" s="707"/>
      <c r="KBY34" s="707"/>
      <c r="KBZ34" s="707"/>
      <c r="KCA34" s="707"/>
      <c r="KCB34" s="707"/>
      <c r="KCC34" s="707"/>
      <c r="KCD34" s="707"/>
      <c r="KCE34" s="707"/>
      <c r="KCF34" s="707"/>
      <c r="KCG34" s="707"/>
      <c r="KCH34" s="707"/>
      <c r="KCI34" s="707"/>
      <c r="KCJ34" s="707"/>
      <c r="KCK34" s="707"/>
      <c r="KCL34" s="707"/>
      <c r="KCM34" s="707"/>
      <c r="KCN34" s="707"/>
      <c r="KCO34" s="707"/>
      <c r="KCP34" s="707"/>
      <c r="KCQ34" s="707"/>
      <c r="KCR34" s="707"/>
      <c r="KCS34" s="707"/>
      <c r="KCT34" s="707"/>
      <c r="KCU34" s="707"/>
      <c r="KCV34" s="707"/>
      <c r="KCW34" s="707"/>
      <c r="KCX34" s="707"/>
      <c r="KCY34" s="707"/>
      <c r="KCZ34" s="707"/>
      <c r="KDA34" s="707"/>
      <c r="KDB34" s="707"/>
      <c r="KDC34" s="707"/>
      <c r="KDD34" s="707"/>
      <c r="KDE34" s="707"/>
      <c r="KDF34" s="707"/>
      <c r="KDG34" s="707"/>
      <c r="KDH34" s="707"/>
      <c r="KDI34" s="707"/>
      <c r="KDJ34" s="707"/>
      <c r="KDK34" s="707"/>
      <c r="KDL34" s="707"/>
      <c r="KDM34" s="707"/>
      <c r="KDN34" s="707"/>
      <c r="KDO34" s="707"/>
      <c r="KDP34" s="707"/>
      <c r="KDQ34" s="707"/>
      <c r="KDR34" s="707"/>
      <c r="KDS34" s="707"/>
      <c r="KDT34" s="707"/>
      <c r="KDU34" s="707"/>
      <c r="KDV34" s="707"/>
      <c r="KDW34" s="707"/>
      <c r="KDX34" s="707"/>
      <c r="KDY34" s="707"/>
      <c r="KDZ34" s="707"/>
      <c r="KEA34" s="707"/>
      <c r="KEB34" s="707"/>
      <c r="KEC34" s="707"/>
      <c r="KED34" s="707"/>
      <c r="KEE34" s="707"/>
      <c r="KEF34" s="707"/>
      <c r="KEG34" s="707"/>
      <c r="KEH34" s="707"/>
      <c r="KEI34" s="707"/>
      <c r="KEJ34" s="707"/>
      <c r="KEK34" s="707"/>
      <c r="KEL34" s="707"/>
      <c r="KEM34" s="707"/>
      <c r="KEN34" s="707"/>
      <c r="KEO34" s="707"/>
      <c r="KEP34" s="707"/>
      <c r="KEQ34" s="707"/>
      <c r="KER34" s="707"/>
      <c r="KES34" s="707"/>
      <c r="KET34" s="707"/>
      <c r="KEU34" s="707"/>
      <c r="KEV34" s="707"/>
      <c r="KEW34" s="707"/>
      <c r="KEX34" s="707"/>
      <c r="KEY34" s="707"/>
      <c r="KEZ34" s="707"/>
      <c r="KFA34" s="707"/>
      <c r="KFB34" s="707"/>
      <c r="KFC34" s="707"/>
      <c r="KFD34" s="707"/>
      <c r="KFE34" s="707"/>
      <c r="KFF34" s="707"/>
      <c r="KFG34" s="707"/>
      <c r="KFH34" s="707"/>
      <c r="KFI34" s="707"/>
      <c r="KFJ34" s="707"/>
      <c r="KFK34" s="707"/>
      <c r="KFL34" s="707"/>
      <c r="KFM34" s="707"/>
      <c r="KFN34" s="707"/>
      <c r="KFO34" s="707"/>
      <c r="KFP34" s="707"/>
      <c r="KFQ34" s="707"/>
      <c r="KFR34" s="707"/>
      <c r="KFS34" s="707"/>
      <c r="KFT34" s="707"/>
      <c r="KFU34" s="707"/>
      <c r="KFV34" s="707"/>
      <c r="KFW34" s="707"/>
      <c r="KFX34" s="707"/>
      <c r="KFY34" s="707"/>
      <c r="KFZ34" s="707"/>
      <c r="KGA34" s="707"/>
      <c r="KGB34" s="707"/>
      <c r="KGC34" s="707"/>
      <c r="KGD34" s="707"/>
      <c r="KGE34" s="707"/>
      <c r="KGF34" s="707"/>
      <c r="KGG34" s="707"/>
      <c r="KGH34" s="707"/>
      <c r="KGI34" s="707"/>
      <c r="KGJ34" s="707"/>
      <c r="KGK34" s="707"/>
      <c r="KGL34" s="707"/>
      <c r="KGM34" s="707"/>
      <c r="KGN34" s="707"/>
      <c r="KGO34" s="707"/>
      <c r="KGP34" s="707"/>
      <c r="KGQ34" s="707"/>
      <c r="KGR34" s="707"/>
      <c r="KGS34" s="707"/>
      <c r="KGT34" s="707"/>
      <c r="KGU34" s="707"/>
      <c r="KGV34" s="707"/>
      <c r="KGW34" s="707"/>
      <c r="KGX34" s="707"/>
      <c r="KGY34" s="707"/>
      <c r="KGZ34" s="707"/>
      <c r="KHA34" s="707"/>
      <c r="KHB34" s="707"/>
      <c r="KHC34" s="707"/>
      <c r="KHD34" s="707"/>
      <c r="KHE34" s="707"/>
      <c r="KHF34" s="707"/>
      <c r="KHG34" s="707"/>
      <c r="KHH34" s="707"/>
      <c r="KHI34" s="707"/>
      <c r="KHJ34" s="707"/>
      <c r="KHK34" s="707"/>
      <c r="KHL34" s="707"/>
      <c r="KHM34" s="707"/>
      <c r="KHN34" s="707"/>
      <c r="KHO34" s="707"/>
      <c r="KHP34" s="707"/>
      <c r="KHQ34" s="707"/>
      <c r="KHR34" s="707"/>
      <c r="KHS34" s="707"/>
      <c r="KHT34" s="707"/>
      <c r="KHU34" s="707"/>
      <c r="KHV34" s="707"/>
      <c r="KHW34" s="707"/>
      <c r="KHX34" s="707"/>
      <c r="KHY34" s="707"/>
      <c r="KHZ34" s="707"/>
      <c r="KIA34" s="707"/>
      <c r="KIB34" s="707"/>
      <c r="KIC34" s="707"/>
      <c r="KID34" s="707"/>
      <c r="KIE34" s="707"/>
      <c r="KIF34" s="707"/>
      <c r="KIG34" s="707"/>
      <c r="KIH34" s="707"/>
      <c r="KII34" s="707"/>
      <c r="KIJ34" s="707"/>
      <c r="KIK34" s="707"/>
      <c r="KIL34" s="707"/>
      <c r="KIM34" s="707"/>
      <c r="KIN34" s="707"/>
      <c r="KIO34" s="707"/>
      <c r="KIP34" s="707"/>
      <c r="KIQ34" s="707"/>
      <c r="KIR34" s="707"/>
      <c r="KIS34" s="707"/>
      <c r="KIT34" s="707"/>
      <c r="KIU34" s="707"/>
      <c r="KIV34" s="707"/>
      <c r="KIW34" s="707"/>
      <c r="KIX34" s="707"/>
      <c r="KIY34" s="707"/>
      <c r="KIZ34" s="707"/>
      <c r="KJA34" s="707"/>
      <c r="KJB34" s="707"/>
      <c r="KJC34" s="707"/>
      <c r="KJD34" s="707"/>
      <c r="KJE34" s="707"/>
      <c r="KJF34" s="707"/>
      <c r="KJG34" s="707"/>
      <c r="KJH34" s="707"/>
      <c r="KJI34" s="707"/>
      <c r="KJJ34" s="707"/>
      <c r="KJK34" s="707"/>
      <c r="KJL34" s="707"/>
      <c r="KJM34" s="707"/>
      <c r="KJN34" s="707"/>
      <c r="KJO34" s="707"/>
      <c r="KJP34" s="707"/>
      <c r="KJQ34" s="707"/>
      <c r="KJR34" s="707"/>
      <c r="KJS34" s="707"/>
      <c r="KJT34" s="707"/>
      <c r="KJU34" s="707"/>
      <c r="KJV34" s="707"/>
      <c r="KJW34" s="707"/>
      <c r="KJX34" s="707"/>
      <c r="KJY34" s="707"/>
      <c r="KJZ34" s="707"/>
      <c r="KKA34" s="707"/>
      <c r="KKB34" s="707"/>
      <c r="KKC34" s="707"/>
      <c r="KKD34" s="707"/>
      <c r="KKE34" s="707"/>
      <c r="KKF34" s="707"/>
      <c r="KKG34" s="707"/>
      <c r="KKH34" s="707"/>
      <c r="KKI34" s="707"/>
      <c r="KKJ34" s="707"/>
      <c r="KKK34" s="707"/>
      <c r="KKL34" s="707"/>
      <c r="KKM34" s="707"/>
      <c r="KKN34" s="707"/>
      <c r="KKO34" s="707"/>
      <c r="KKP34" s="707"/>
      <c r="KKQ34" s="707"/>
      <c r="KKR34" s="707"/>
      <c r="KKS34" s="707"/>
      <c r="KKT34" s="707"/>
      <c r="KKU34" s="707"/>
      <c r="KKV34" s="707"/>
      <c r="KKW34" s="707"/>
      <c r="KKX34" s="707"/>
      <c r="KKY34" s="707"/>
      <c r="KKZ34" s="707"/>
      <c r="KLA34" s="707"/>
      <c r="KLB34" s="707"/>
      <c r="KLC34" s="707"/>
      <c r="KLD34" s="707"/>
      <c r="KLE34" s="707"/>
      <c r="KLF34" s="707"/>
      <c r="KLG34" s="707"/>
      <c r="KLH34" s="707"/>
      <c r="KLI34" s="707"/>
      <c r="KLJ34" s="707"/>
      <c r="KLK34" s="707"/>
      <c r="KLL34" s="707"/>
      <c r="KLM34" s="707"/>
      <c r="KLN34" s="707"/>
      <c r="KLO34" s="707"/>
      <c r="KLP34" s="707"/>
      <c r="KLQ34" s="707"/>
      <c r="KLR34" s="707"/>
      <c r="KLS34" s="707"/>
      <c r="KLT34" s="707"/>
      <c r="KLU34" s="707"/>
      <c r="KLV34" s="707"/>
      <c r="KLW34" s="707"/>
      <c r="KLX34" s="707"/>
      <c r="KLY34" s="707"/>
      <c r="KLZ34" s="707"/>
      <c r="KMA34" s="707"/>
      <c r="KMB34" s="707"/>
      <c r="KMC34" s="707"/>
      <c r="KMD34" s="707"/>
      <c r="KME34" s="707"/>
      <c r="KMF34" s="707"/>
      <c r="KMG34" s="707"/>
      <c r="KMH34" s="707"/>
      <c r="KMI34" s="707"/>
      <c r="KMJ34" s="707"/>
      <c r="KMK34" s="707"/>
      <c r="KML34" s="707"/>
      <c r="KMM34" s="707"/>
      <c r="KMN34" s="707"/>
      <c r="KMO34" s="707"/>
      <c r="KMP34" s="707"/>
      <c r="KMQ34" s="707"/>
      <c r="KMR34" s="707"/>
      <c r="KMS34" s="707"/>
      <c r="KMT34" s="707"/>
      <c r="KMU34" s="707"/>
      <c r="KMV34" s="707"/>
      <c r="KMW34" s="707"/>
      <c r="KMX34" s="707"/>
      <c r="KMY34" s="707"/>
      <c r="KMZ34" s="707"/>
      <c r="KNA34" s="707"/>
      <c r="KNB34" s="707"/>
      <c r="KNC34" s="707"/>
      <c r="KND34" s="707"/>
      <c r="KNE34" s="707"/>
      <c r="KNF34" s="707"/>
      <c r="KNG34" s="707"/>
      <c r="KNH34" s="707"/>
      <c r="KNI34" s="707"/>
      <c r="KNJ34" s="707"/>
      <c r="KNK34" s="707"/>
      <c r="KNL34" s="707"/>
      <c r="KNM34" s="707"/>
      <c r="KNN34" s="707"/>
      <c r="KNO34" s="707"/>
      <c r="KNP34" s="707"/>
      <c r="KNQ34" s="707"/>
      <c r="KNR34" s="707"/>
      <c r="KNS34" s="707"/>
      <c r="KNT34" s="707"/>
      <c r="KNU34" s="707"/>
      <c r="KNV34" s="707"/>
      <c r="KNW34" s="707"/>
      <c r="KNX34" s="707"/>
      <c r="KNY34" s="707"/>
      <c r="KNZ34" s="707"/>
      <c r="KOA34" s="707"/>
      <c r="KOB34" s="707"/>
      <c r="KOC34" s="707"/>
      <c r="KOD34" s="707"/>
      <c r="KOE34" s="707"/>
      <c r="KOF34" s="707"/>
      <c r="KOG34" s="707"/>
      <c r="KOH34" s="707"/>
      <c r="KOI34" s="707"/>
      <c r="KOJ34" s="707"/>
      <c r="KOK34" s="707"/>
      <c r="KOL34" s="707"/>
      <c r="KOM34" s="707"/>
      <c r="KON34" s="707"/>
      <c r="KOO34" s="707"/>
      <c r="KOP34" s="707"/>
      <c r="KOQ34" s="707"/>
      <c r="KOR34" s="707"/>
      <c r="KOS34" s="707"/>
      <c r="KOT34" s="707"/>
      <c r="KOU34" s="707"/>
      <c r="KOV34" s="707"/>
      <c r="KOW34" s="707"/>
      <c r="KOX34" s="707"/>
      <c r="KOY34" s="707"/>
      <c r="KOZ34" s="707"/>
      <c r="KPA34" s="707"/>
      <c r="KPB34" s="707"/>
      <c r="KPC34" s="707"/>
      <c r="KPD34" s="707"/>
      <c r="KPE34" s="707"/>
      <c r="KPF34" s="707"/>
      <c r="KPG34" s="707"/>
      <c r="KPH34" s="707"/>
      <c r="KPI34" s="707"/>
      <c r="KPJ34" s="707"/>
      <c r="KPK34" s="707"/>
      <c r="KPL34" s="707"/>
      <c r="KPM34" s="707"/>
      <c r="KPN34" s="707"/>
      <c r="KPO34" s="707"/>
      <c r="KPP34" s="707"/>
      <c r="KPQ34" s="707"/>
      <c r="KPR34" s="707"/>
      <c r="KPS34" s="707"/>
      <c r="KPT34" s="707"/>
      <c r="KPU34" s="707"/>
      <c r="KPV34" s="707"/>
      <c r="KPW34" s="707"/>
      <c r="KPX34" s="707"/>
      <c r="KPY34" s="707"/>
      <c r="KPZ34" s="707"/>
      <c r="KQA34" s="707"/>
      <c r="KQB34" s="707"/>
      <c r="KQC34" s="707"/>
      <c r="KQD34" s="707"/>
      <c r="KQE34" s="707"/>
      <c r="KQF34" s="707"/>
      <c r="KQG34" s="707"/>
      <c r="KQH34" s="707"/>
      <c r="KQI34" s="707"/>
      <c r="KQJ34" s="707"/>
      <c r="KQK34" s="707"/>
      <c r="KQL34" s="707"/>
      <c r="KQM34" s="707"/>
      <c r="KQN34" s="707"/>
      <c r="KQO34" s="707"/>
      <c r="KQP34" s="707"/>
      <c r="KQQ34" s="707"/>
      <c r="KQR34" s="707"/>
      <c r="KQS34" s="707"/>
      <c r="KQT34" s="707"/>
      <c r="KQU34" s="707"/>
      <c r="KQV34" s="707"/>
      <c r="KQW34" s="707"/>
      <c r="KQX34" s="707"/>
      <c r="KQY34" s="707"/>
      <c r="KQZ34" s="707"/>
      <c r="KRA34" s="707"/>
      <c r="KRB34" s="707"/>
      <c r="KRC34" s="707"/>
      <c r="KRD34" s="707"/>
      <c r="KRE34" s="707"/>
      <c r="KRF34" s="707"/>
      <c r="KRG34" s="707"/>
      <c r="KRH34" s="707"/>
      <c r="KRI34" s="707"/>
      <c r="KRJ34" s="707"/>
      <c r="KRK34" s="707"/>
      <c r="KRL34" s="707"/>
      <c r="KRM34" s="707"/>
      <c r="KRN34" s="707"/>
      <c r="KRO34" s="707"/>
      <c r="KRP34" s="707"/>
      <c r="KRQ34" s="707"/>
      <c r="KRR34" s="707"/>
      <c r="KRS34" s="707"/>
      <c r="KRT34" s="707"/>
      <c r="KRU34" s="707"/>
      <c r="KRV34" s="707"/>
      <c r="KRW34" s="707"/>
      <c r="KRX34" s="707"/>
      <c r="KRY34" s="707"/>
      <c r="KRZ34" s="707"/>
      <c r="KSA34" s="707"/>
      <c r="KSB34" s="707"/>
      <c r="KSC34" s="707"/>
      <c r="KSD34" s="707"/>
      <c r="KSE34" s="707"/>
      <c r="KSF34" s="707"/>
      <c r="KSG34" s="707"/>
      <c r="KSH34" s="707"/>
      <c r="KSI34" s="707"/>
      <c r="KSJ34" s="707"/>
      <c r="KSK34" s="707"/>
      <c r="KSL34" s="707"/>
      <c r="KSM34" s="707"/>
      <c r="KSN34" s="707"/>
      <c r="KSO34" s="707"/>
      <c r="KSP34" s="707"/>
      <c r="KSQ34" s="707"/>
      <c r="KSR34" s="707"/>
      <c r="KSS34" s="707"/>
      <c r="KST34" s="707"/>
      <c r="KSU34" s="707"/>
      <c r="KSV34" s="707"/>
      <c r="KSW34" s="707"/>
      <c r="KSX34" s="707"/>
      <c r="KSY34" s="707"/>
      <c r="KSZ34" s="707"/>
      <c r="KTA34" s="707"/>
      <c r="KTB34" s="707"/>
      <c r="KTC34" s="707"/>
      <c r="KTD34" s="707"/>
      <c r="KTE34" s="707"/>
      <c r="KTF34" s="707"/>
      <c r="KTG34" s="707"/>
      <c r="KTH34" s="707"/>
      <c r="KTI34" s="707"/>
      <c r="KTJ34" s="707"/>
      <c r="KTK34" s="707"/>
      <c r="KTL34" s="707"/>
      <c r="KTM34" s="707"/>
      <c r="KTN34" s="707"/>
      <c r="KTO34" s="707"/>
      <c r="KTP34" s="707"/>
      <c r="KTQ34" s="707"/>
      <c r="KTR34" s="707"/>
      <c r="KTS34" s="707"/>
      <c r="KTT34" s="707"/>
      <c r="KTU34" s="707"/>
      <c r="KTV34" s="707"/>
      <c r="KTW34" s="707"/>
      <c r="KTX34" s="707"/>
      <c r="KTY34" s="707"/>
      <c r="KTZ34" s="707"/>
      <c r="KUA34" s="707"/>
      <c r="KUB34" s="707"/>
      <c r="KUC34" s="707"/>
      <c r="KUD34" s="707"/>
      <c r="KUE34" s="707"/>
      <c r="KUF34" s="707"/>
      <c r="KUG34" s="707"/>
      <c r="KUH34" s="707"/>
      <c r="KUI34" s="707"/>
      <c r="KUJ34" s="707"/>
      <c r="KUK34" s="707"/>
      <c r="KUL34" s="707"/>
      <c r="KUM34" s="707"/>
      <c r="KUN34" s="707"/>
      <c r="KUO34" s="707"/>
      <c r="KUP34" s="707"/>
      <c r="KUQ34" s="707"/>
      <c r="KUR34" s="707"/>
      <c r="KUS34" s="707"/>
      <c r="KUT34" s="707"/>
      <c r="KUU34" s="707"/>
      <c r="KUV34" s="707"/>
      <c r="KUW34" s="707"/>
      <c r="KUX34" s="707"/>
      <c r="KUY34" s="707"/>
      <c r="KUZ34" s="707"/>
      <c r="KVA34" s="707"/>
      <c r="KVB34" s="707"/>
      <c r="KVC34" s="707"/>
      <c r="KVD34" s="707"/>
      <c r="KVE34" s="707"/>
      <c r="KVF34" s="707"/>
      <c r="KVG34" s="707"/>
      <c r="KVH34" s="707"/>
      <c r="KVI34" s="707"/>
      <c r="KVJ34" s="707"/>
      <c r="KVK34" s="707"/>
      <c r="KVL34" s="707"/>
      <c r="KVM34" s="707"/>
      <c r="KVN34" s="707"/>
      <c r="KVO34" s="707"/>
      <c r="KVP34" s="707"/>
      <c r="KVQ34" s="707"/>
      <c r="KVR34" s="707"/>
      <c r="KVS34" s="707"/>
      <c r="KVT34" s="707"/>
      <c r="KVU34" s="707"/>
      <c r="KVV34" s="707"/>
      <c r="KVW34" s="707"/>
      <c r="KVX34" s="707"/>
      <c r="KVY34" s="707"/>
      <c r="KVZ34" s="707"/>
      <c r="KWA34" s="707"/>
      <c r="KWB34" s="707"/>
      <c r="KWC34" s="707"/>
      <c r="KWD34" s="707"/>
      <c r="KWE34" s="707"/>
      <c r="KWF34" s="707"/>
      <c r="KWG34" s="707"/>
      <c r="KWH34" s="707"/>
      <c r="KWI34" s="707"/>
      <c r="KWJ34" s="707"/>
      <c r="KWK34" s="707"/>
      <c r="KWL34" s="707"/>
      <c r="KWM34" s="707"/>
      <c r="KWN34" s="707"/>
      <c r="KWO34" s="707"/>
      <c r="KWP34" s="707"/>
      <c r="KWQ34" s="707"/>
      <c r="KWR34" s="707"/>
      <c r="KWS34" s="707"/>
      <c r="KWT34" s="707"/>
      <c r="KWU34" s="707"/>
      <c r="KWV34" s="707"/>
      <c r="KWW34" s="707"/>
      <c r="KWX34" s="707"/>
      <c r="KWY34" s="707"/>
      <c r="KWZ34" s="707"/>
      <c r="KXA34" s="707"/>
      <c r="KXB34" s="707"/>
      <c r="KXC34" s="707"/>
      <c r="KXD34" s="707"/>
      <c r="KXE34" s="707"/>
      <c r="KXF34" s="707"/>
      <c r="KXG34" s="707"/>
      <c r="KXH34" s="707"/>
      <c r="KXI34" s="707"/>
      <c r="KXJ34" s="707"/>
      <c r="KXK34" s="707"/>
      <c r="KXL34" s="707"/>
      <c r="KXM34" s="707"/>
      <c r="KXN34" s="707"/>
      <c r="KXO34" s="707"/>
      <c r="KXP34" s="707"/>
      <c r="KXQ34" s="707"/>
      <c r="KXR34" s="707"/>
      <c r="KXS34" s="707"/>
      <c r="KXT34" s="707"/>
      <c r="KXU34" s="707"/>
      <c r="KXV34" s="707"/>
      <c r="KXW34" s="707"/>
      <c r="KXX34" s="707"/>
      <c r="KXY34" s="707"/>
      <c r="KXZ34" s="707"/>
      <c r="KYA34" s="707"/>
      <c r="KYB34" s="707"/>
      <c r="KYC34" s="707"/>
      <c r="KYD34" s="707"/>
      <c r="KYE34" s="707"/>
      <c r="KYF34" s="707"/>
      <c r="KYG34" s="707"/>
      <c r="KYH34" s="707"/>
      <c r="KYI34" s="707"/>
      <c r="KYJ34" s="707"/>
      <c r="KYK34" s="707"/>
      <c r="KYL34" s="707"/>
      <c r="KYM34" s="707"/>
      <c r="KYN34" s="707"/>
      <c r="KYO34" s="707"/>
      <c r="KYP34" s="707"/>
      <c r="KYQ34" s="707"/>
      <c r="KYR34" s="707"/>
      <c r="KYS34" s="707"/>
      <c r="KYT34" s="707"/>
      <c r="KYU34" s="707"/>
      <c r="KYV34" s="707"/>
      <c r="KYW34" s="707"/>
      <c r="KYX34" s="707"/>
      <c r="KYY34" s="707"/>
      <c r="KYZ34" s="707"/>
      <c r="KZA34" s="707"/>
      <c r="KZB34" s="707"/>
      <c r="KZC34" s="707"/>
      <c r="KZD34" s="707"/>
      <c r="KZE34" s="707"/>
      <c r="KZF34" s="707"/>
      <c r="KZG34" s="707"/>
      <c r="KZH34" s="707"/>
      <c r="KZI34" s="707"/>
      <c r="KZJ34" s="707"/>
      <c r="KZK34" s="707"/>
      <c r="KZL34" s="707"/>
      <c r="KZM34" s="707"/>
      <c r="KZN34" s="707"/>
      <c r="KZO34" s="707"/>
      <c r="KZP34" s="707"/>
      <c r="KZQ34" s="707"/>
      <c r="KZR34" s="707"/>
      <c r="KZS34" s="707"/>
      <c r="KZT34" s="707"/>
      <c r="KZU34" s="707"/>
      <c r="KZV34" s="707"/>
      <c r="KZW34" s="707"/>
      <c r="KZX34" s="707"/>
      <c r="KZY34" s="707"/>
      <c r="KZZ34" s="707"/>
      <c r="LAA34" s="707"/>
      <c r="LAB34" s="707"/>
      <c r="LAC34" s="707"/>
      <c r="LAD34" s="707"/>
      <c r="LAE34" s="707"/>
      <c r="LAF34" s="707"/>
      <c r="LAG34" s="707"/>
      <c r="LAH34" s="707"/>
      <c r="LAI34" s="707"/>
      <c r="LAJ34" s="707"/>
      <c r="LAK34" s="707"/>
      <c r="LAL34" s="707"/>
      <c r="LAM34" s="707"/>
      <c r="LAN34" s="707"/>
      <c r="LAO34" s="707"/>
      <c r="LAP34" s="707"/>
      <c r="LAQ34" s="707"/>
      <c r="LAR34" s="707"/>
      <c r="LAS34" s="707"/>
      <c r="LAT34" s="707"/>
      <c r="LAU34" s="707"/>
      <c r="LAV34" s="707"/>
      <c r="LAW34" s="707"/>
      <c r="LAX34" s="707"/>
      <c r="LAY34" s="707"/>
      <c r="LAZ34" s="707"/>
      <c r="LBA34" s="707"/>
      <c r="LBB34" s="707"/>
      <c r="LBC34" s="707"/>
      <c r="LBD34" s="707"/>
      <c r="LBE34" s="707"/>
      <c r="LBF34" s="707"/>
      <c r="LBG34" s="707"/>
      <c r="LBH34" s="707"/>
      <c r="LBI34" s="707"/>
      <c r="LBJ34" s="707"/>
      <c r="LBK34" s="707"/>
      <c r="LBL34" s="707"/>
      <c r="LBM34" s="707"/>
      <c r="LBN34" s="707"/>
      <c r="LBO34" s="707"/>
      <c r="LBP34" s="707"/>
      <c r="LBQ34" s="707"/>
      <c r="LBR34" s="707"/>
      <c r="LBS34" s="707"/>
      <c r="LBT34" s="707"/>
      <c r="LBU34" s="707"/>
      <c r="LBV34" s="707"/>
      <c r="LBW34" s="707"/>
      <c r="LBX34" s="707"/>
      <c r="LBY34" s="707"/>
      <c r="LBZ34" s="707"/>
      <c r="LCA34" s="707"/>
      <c r="LCB34" s="707"/>
      <c r="LCC34" s="707"/>
      <c r="LCD34" s="707"/>
      <c r="LCE34" s="707"/>
      <c r="LCF34" s="707"/>
      <c r="LCG34" s="707"/>
      <c r="LCH34" s="707"/>
      <c r="LCI34" s="707"/>
      <c r="LCJ34" s="707"/>
      <c r="LCK34" s="707"/>
      <c r="LCL34" s="707"/>
      <c r="LCM34" s="707"/>
      <c r="LCN34" s="707"/>
      <c r="LCO34" s="707"/>
      <c r="LCP34" s="707"/>
      <c r="LCQ34" s="707"/>
      <c r="LCR34" s="707"/>
      <c r="LCS34" s="707"/>
      <c r="LCT34" s="707"/>
      <c r="LCU34" s="707"/>
      <c r="LCV34" s="707"/>
      <c r="LCW34" s="707"/>
      <c r="LCX34" s="707"/>
      <c r="LCY34" s="707"/>
      <c r="LCZ34" s="707"/>
      <c r="LDA34" s="707"/>
      <c r="LDB34" s="707"/>
      <c r="LDC34" s="707"/>
      <c r="LDD34" s="707"/>
      <c r="LDE34" s="707"/>
      <c r="LDF34" s="707"/>
      <c r="LDG34" s="707"/>
      <c r="LDH34" s="707"/>
      <c r="LDI34" s="707"/>
      <c r="LDJ34" s="707"/>
      <c r="LDK34" s="707"/>
      <c r="LDL34" s="707"/>
      <c r="LDM34" s="707"/>
      <c r="LDN34" s="707"/>
      <c r="LDO34" s="707"/>
      <c r="LDP34" s="707"/>
      <c r="LDQ34" s="707"/>
      <c r="LDR34" s="707"/>
      <c r="LDS34" s="707"/>
      <c r="LDT34" s="707"/>
      <c r="LDU34" s="707"/>
      <c r="LDV34" s="707"/>
      <c r="LDW34" s="707"/>
      <c r="LDX34" s="707"/>
      <c r="LDY34" s="707"/>
      <c r="LDZ34" s="707"/>
      <c r="LEA34" s="707"/>
      <c r="LEB34" s="707"/>
      <c r="LEC34" s="707"/>
      <c r="LED34" s="707"/>
      <c r="LEE34" s="707"/>
      <c r="LEF34" s="707"/>
      <c r="LEG34" s="707"/>
      <c r="LEH34" s="707"/>
      <c r="LEI34" s="707"/>
      <c r="LEJ34" s="707"/>
      <c r="LEK34" s="707"/>
      <c r="LEL34" s="707"/>
      <c r="LEM34" s="707"/>
      <c r="LEN34" s="707"/>
      <c r="LEO34" s="707"/>
      <c r="LEP34" s="707"/>
      <c r="LEQ34" s="707"/>
      <c r="LER34" s="707"/>
      <c r="LES34" s="707"/>
      <c r="LET34" s="707"/>
      <c r="LEU34" s="707"/>
      <c r="LEV34" s="707"/>
      <c r="LEW34" s="707"/>
      <c r="LEX34" s="707"/>
      <c r="LEY34" s="707"/>
      <c r="LEZ34" s="707"/>
      <c r="LFA34" s="707"/>
      <c r="LFB34" s="707"/>
      <c r="LFC34" s="707"/>
      <c r="LFD34" s="707"/>
      <c r="LFE34" s="707"/>
      <c r="LFF34" s="707"/>
      <c r="LFG34" s="707"/>
      <c r="LFH34" s="707"/>
      <c r="LFI34" s="707"/>
      <c r="LFJ34" s="707"/>
      <c r="LFK34" s="707"/>
      <c r="LFL34" s="707"/>
      <c r="LFM34" s="707"/>
      <c r="LFN34" s="707"/>
      <c r="LFO34" s="707"/>
      <c r="LFP34" s="707"/>
      <c r="LFQ34" s="707"/>
      <c r="LFR34" s="707"/>
      <c r="LFS34" s="707"/>
      <c r="LFT34" s="707"/>
      <c r="LFU34" s="707"/>
      <c r="LFV34" s="707"/>
      <c r="LFW34" s="707"/>
      <c r="LFX34" s="707"/>
      <c r="LFY34" s="707"/>
      <c r="LFZ34" s="707"/>
      <c r="LGA34" s="707"/>
      <c r="LGB34" s="707"/>
      <c r="LGC34" s="707"/>
      <c r="LGD34" s="707"/>
      <c r="LGE34" s="707"/>
      <c r="LGF34" s="707"/>
      <c r="LGG34" s="707"/>
      <c r="LGH34" s="707"/>
      <c r="LGI34" s="707"/>
      <c r="LGJ34" s="707"/>
      <c r="LGK34" s="707"/>
      <c r="LGL34" s="707"/>
      <c r="LGM34" s="707"/>
      <c r="LGN34" s="707"/>
      <c r="LGO34" s="707"/>
      <c r="LGP34" s="707"/>
      <c r="LGQ34" s="707"/>
      <c r="LGR34" s="707"/>
      <c r="LGS34" s="707"/>
      <c r="LGT34" s="707"/>
      <c r="LGU34" s="707"/>
      <c r="LGV34" s="707"/>
      <c r="LGW34" s="707"/>
      <c r="LGX34" s="707"/>
      <c r="LGY34" s="707"/>
      <c r="LGZ34" s="707"/>
      <c r="LHA34" s="707"/>
      <c r="LHB34" s="707"/>
      <c r="LHC34" s="707"/>
      <c r="LHD34" s="707"/>
      <c r="LHE34" s="707"/>
      <c r="LHF34" s="707"/>
      <c r="LHG34" s="707"/>
      <c r="LHH34" s="707"/>
      <c r="LHI34" s="707"/>
      <c r="LHJ34" s="707"/>
      <c r="LHK34" s="707"/>
      <c r="LHL34" s="707"/>
      <c r="LHM34" s="707"/>
      <c r="LHN34" s="707"/>
      <c r="LHO34" s="707"/>
      <c r="LHP34" s="707"/>
      <c r="LHQ34" s="707"/>
      <c r="LHR34" s="707"/>
      <c r="LHS34" s="707"/>
      <c r="LHT34" s="707"/>
      <c r="LHU34" s="707"/>
      <c r="LHV34" s="707"/>
      <c r="LHW34" s="707"/>
      <c r="LHX34" s="707"/>
      <c r="LHY34" s="707"/>
      <c r="LHZ34" s="707"/>
      <c r="LIA34" s="707"/>
      <c r="LIB34" s="707"/>
      <c r="LIC34" s="707"/>
      <c r="LID34" s="707"/>
      <c r="LIE34" s="707"/>
      <c r="LIF34" s="707"/>
      <c r="LIG34" s="707"/>
      <c r="LIH34" s="707"/>
      <c r="LII34" s="707"/>
      <c r="LIJ34" s="707"/>
      <c r="LIK34" s="707"/>
      <c r="LIL34" s="707"/>
      <c r="LIM34" s="707"/>
      <c r="LIN34" s="707"/>
      <c r="LIO34" s="707"/>
      <c r="LIP34" s="707"/>
      <c r="LIQ34" s="707"/>
      <c r="LIR34" s="707"/>
      <c r="LIS34" s="707"/>
      <c r="LIT34" s="707"/>
      <c r="LIU34" s="707"/>
      <c r="LIV34" s="707"/>
      <c r="LIW34" s="707"/>
      <c r="LIX34" s="707"/>
      <c r="LIY34" s="707"/>
      <c r="LIZ34" s="707"/>
      <c r="LJA34" s="707"/>
      <c r="LJB34" s="707"/>
      <c r="LJC34" s="707"/>
      <c r="LJD34" s="707"/>
      <c r="LJE34" s="707"/>
      <c r="LJF34" s="707"/>
      <c r="LJG34" s="707"/>
      <c r="LJH34" s="707"/>
      <c r="LJI34" s="707"/>
      <c r="LJJ34" s="707"/>
      <c r="LJK34" s="707"/>
      <c r="LJL34" s="707"/>
      <c r="LJM34" s="707"/>
      <c r="LJN34" s="707"/>
      <c r="LJO34" s="707"/>
      <c r="LJP34" s="707"/>
      <c r="LJQ34" s="707"/>
      <c r="LJR34" s="707"/>
      <c r="LJS34" s="707"/>
      <c r="LJT34" s="707"/>
      <c r="LJU34" s="707"/>
      <c r="LJV34" s="707"/>
      <c r="LJW34" s="707"/>
      <c r="LJX34" s="707"/>
      <c r="LJY34" s="707"/>
      <c r="LJZ34" s="707"/>
      <c r="LKA34" s="707"/>
      <c r="LKB34" s="707"/>
      <c r="LKC34" s="707"/>
      <c r="LKD34" s="707"/>
      <c r="LKE34" s="707"/>
      <c r="LKF34" s="707"/>
      <c r="LKG34" s="707"/>
      <c r="LKH34" s="707"/>
      <c r="LKI34" s="707"/>
      <c r="LKJ34" s="707"/>
      <c r="LKK34" s="707"/>
      <c r="LKL34" s="707"/>
      <c r="LKM34" s="707"/>
      <c r="LKN34" s="707"/>
      <c r="LKO34" s="707"/>
      <c r="LKP34" s="707"/>
      <c r="LKQ34" s="707"/>
      <c r="LKR34" s="707"/>
      <c r="LKS34" s="707"/>
      <c r="LKT34" s="707"/>
      <c r="LKU34" s="707"/>
      <c r="LKV34" s="707"/>
      <c r="LKW34" s="707"/>
      <c r="LKX34" s="707"/>
      <c r="LKY34" s="707"/>
      <c r="LKZ34" s="707"/>
      <c r="LLA34" s="707"/>
      <c r="LLB34" s="707"/>
      <c r="LLC34" s="707"/>
      <c r="LLD34" s="707"/>
      <c r="LLE34" s="707"/>
      <c r="LLF34" s="707"/>
      <c r="LLG34" s="707"/>
      <c r="LLH34" s="707"/>
      <c r="LLI34" s="707"/>
      <c r="LLJ34" s="707"/>
      <c r="LLK34" s="707"/>
      <c r="LLL34" s="707"/>
      <c r="LLM34" s="707"/>
      <c r="LLN34" s="707"/>
      <c r="LLO34" s="707"/>
      <c r="LLP34" s="707"/>
      <c r="LLQ34" s="707"/>
      <c r="LLR34" s="707"/>
      <c r="LLS34" s="707"/>
      <c r="LLT34" s="707"/>
      <c r="LLU34" s="707"/>
      <c r="LLV34" s="707"/>
      <c r="LLW34" s="707"/>
      <c r="LLX34" s="707"/>
      <c r="LLY34" s="707"/>
      <c r="LLZ34" s="707"/>
      <c r="LMA34" s="707"/>
      <c r="LMB34" s="707"/>
      <c r="LMC34" s="707"/>
      <c r="LMD34" s="707"/>
      <c r="LME34" s="707"/>
      <c r="LMF34" s="707"/>
      <c r="LMG34" s="707"/>
      <c r="LMH34" s="707"/>
      <c r="LMI34" s="707"/>
      <c r="LMJ34" s="707"/>
      <c r="LMK34" s="707"/>
      <c r="LML34" s="707"/>
      <c r="LMM34" s="707"/>
      <c r="LMN34" s="707"/>
      <c r="LMO34" s="707"/>
      <c r="LMP34" s="707"/>
      <c r="LMQ34" s="707"/>
      <c r="LMR34" s="707"/>
      <c r="LMS34" s="707"/>
      <c r="LMT34" s="707"/>
      <c r="LMU34" s="707"/>
      <c r="LMV34" s="707"/>
      <c r="LMW34" s="707"/>
      <c r="LMX34" s="707"/>
      <c r="LMY34" s="707"/>
      <c r="LMZ34" s="707"/>
      <c r="LNA34" s="707"/>
      <c r="LNB34" s="707"/>
      <c r="LNC34" s="707"/>
      <c r="LND34" s="707"/>
      <c r="LNE34" s="707"/>
      <c r="LNF34" s="707"/>
      <c r="LNG34" s="707"/>
      <c r="LNH34" s="707"/>
      <c r="LNI34" s="707"/>
      <c r="LNJ34" s="707"/>
      <c r="LNK34" s="707"/>
      <c r="LNL34" s="707"/>
      <c r="LNM34" s="707"/>
      <c r="LNN34" s="707"/>
      <c r="LNO34" s="707"/>
      <c r="LNP34" s="707"/>
      <c r="LNQ34" s="707"/>
      <c r="LNR34" s="707"/>
      <c r="LNS34" s="707"/>
      <c r="LNT34" s="707"/>
      <c r="LNU34" s="707"/>
      <c r="LNV34" s="707"/>
      <c r="LNW34" s="707"/>
      <c r="LNX34" s="707"/>
      <c r="LNY34" s="707"/>
      <c r="LNZ34" s="707"/>
      <c r="LOA34" s="707"/>
      <c r="LOB34" s="707"/>
      <c r="LOC34" s="707"/>
      <c r="LOD34" s="707"/>
      <c r="LOE34" s="707"/>
      <c r="LOF34" s="707"/>
      <c r="LOG34" s="707"/>
      <c r="LOH34" s="707"/>
      <c r="LOI34" s="707"/>
      <c r="LOJ34" s="707"/>
      <c r="LOK34" s="707"/>
      <c r="LOL34" s="707"/>
      <c r="LOM34" s="707"/>
      <c r="LON34" s="707"/>
      <c r="LOO34" s="707"/>
      <c r="LOP34" s="707"/>
      <c r="LOQ34" s="707"/>
      <c r="LOR34" s="707"/>
      <c r="LOS34" s="707"/>
      <c r="LOT34" s="707"/>
      <c r="LOU34" s="707"/>
      <c r="LOV34" s="707"/>
      <c r="LOW34" s="707"/>
      <c r="LOX34" s="707"/>
      <c r="LOY34" s="707"/>
      <c r="LOZ34" s="707"/>
      <c r="LPA34" s="707"/>
      <c r="LPB34" s="707"/>
      <c r="LPC34" s="707"/>
      <c r="LPD34" s="707"/>
      <c r="LPE34" s="707"/>
      <c r="LPF34" s="707"/>
      <c r="LPG34" s="707"/>
      <c r="LPH34" s="707"/>
      <c r="LPI34" s="707"/>
      <c r="LPJ34" s="707"/>
      <c r="LPK34" s="707"/>
      <c r="LPL34" s="707"/>
      <c r="LPM34" s="707"/>
      <c r="LPN34" s="707"/>
      <c r="LPO34" s="707"/>
      <c r="LPP34" s="707"/>
      <c r="LPQ34" s="707"/>
      <c r="LPR34" s="707"/>
      <c r="LPS34" s="707"/>
      <c r="LPT34" s="707"/>
      <c r="LPU34" s="707"/>
      <c r="LPV34" s="707"/>
      <c r="LPW34" s="707"/>
      <c r="LPX34" s="707"/>
      <c r="LPY34" s="707"/>
      <c r="LPZ34" s="707"/>
      <c r="LQA34" s="707"/>
      <c r="LQB34" s="707"/>
      <c r="LQC34" s="707"/>
      <c r="LQD34" s="707"/>
      <c r="LQE34" s="707"/>
      <c r="LQF34" s="707"/>
      <c r="LQG34" s="707"/>
      <c r="LQH34" s="707"/>
      <c r="LQI34" s="707"/>
      <c r="LQJ34" s="707"/>
      <c r="LQK34" s="707"/>
      <c r="LQL34" s="707"/>
      <c r="LQM34" s="707"/>
      <c r="LQN34" s="707"/>
      <c r="LQO34" s="707"/>
      <c r="LQP34" s="707"/>
      <c r="LQQ34" s="707"/>
      <c r="LQR34" s="707"/>
      <c r="LQS34" s="707"/>
      <c r="LQT34" s="707"/>
      <c r="LQU34" s="707"/>
      <c r="LQV34" s="707"/>
      <c r="LQW34" s="707"/>
      <c r="LQX34" s="707"/>
      <c r="LQY34" s="707"/>
      <c r="LQZ34" s="707"/>
      <c r="LRA34" s="707"/>
      <c r="LRB34" s="707"/>
      <c r="LRC34" s="707"/>
      <c r="LRD34" s="707"/>
      <c r="LRE34" s="707"/>
      <c r="LRF34" s="707"/>
      <c r="LRG34" s="707"/>
      <c r="LRH34" s="707"/>
      <c r="LRI34" s="707"/>
      <c r="LRJ34" s="707"/>
      <c r="LRK34" s="707"/>
      <c r="LRL34" s="707"/>
      <c r="LRM34" s="707"/>
      <c r="LRN34" s="707"/>
      <c r="LRO34" s="707"/>
      <c r="LRP34" s="707"/>
      <c r="LRQ34" s="707"/>
      <c r="LRR34" s="707"/>
      <c r="LRS34" s="707"/>
      <c r="LRT34" s="707"/>
      <c r="LRU34" s="707"/>
      <c r="LRV34" s="707"/>
      <c r="LRW34" s="707"/>
      <c r="LRX34" s="707"/>
      <c r="LRY34" s="707"/>
      <c r="LRZ34" s="707"/>
      <c r="LSA34" s="707"/>
      <c r="LSB34" s="707"/>
      <c r="LSC34" s="707"/>
      <c r="LSD34" s="707"/>
      <c r="LSE34" s="707"/>
      <c r="LSF34" s="707"/>
      <c r="LSG34" s="707"/>
      <c r="LSH34" s="707"/>
      <c r="LSI34" s="707"/>
      <c r="LSJ34" s="707"/>
      <c r="LSK34" s="707"/>
      <c r="LSL34" s="707"/>
      <c r="LSM34" s="707"/>
      <c r="LSN34" s="707"/>
      <c r="LSO34" s="707"/>
      <c r="LSP34" s="707"/>
      <c r="LSQ34" s="707"/>
      <c r="LSR34" s="707"/>
      <c r="LSS34" s="707"/>
      <c r="LST34" s="707"/>
      <c r="LSU34" s="707"/>
      <c r="LSV34" s="707"/>
      <c r="LSW34" s="707"/>
      <c r="LSX34" s="707"/>
      <c r="LSY34" s="707"/>
      <c r="LSZ34" s="707"/>
      <c r="LTA34" s="707"/>
      <c r="LTB34" s="707"/>
      <c r="LTC34" s="707"/>
      <c r="LTD34" s="707"/>
      <c r="LTE34" s="707"/>
      <c r="LTF34" s="707"/>
      <c r="LTG34" s="707"/>
      <c r="LTH34" s="707"/>
      <c r="LTI34" s="707"/>
      <c r="LTJ34" s="707"/>
      <c r="LTK34" s="707"/>
      <c r="LTL34" s="707"/>
      <c r="LTM34" s="707"/>
      <c r="LTN34" s="707"/>
      <c r="LTO34" s="707"/>
      <c r="LTP34" s="707"/>
      <c r="LTQ34" s="707"/>
      <c r="LTR34" s="707"/>
      <c r="LTS34" s="707"/>
      <c r="LTT34" s="707"/>
      <c r="LTU34" s="707"/>
      <c r="LTV34" s="707"/>
      <c r="LTW34" s="707"/>
      <c r="LTX34" s="707"/>
      <c r="LTY34" s="707"/>
      <c r="LTZ34" s="707"/>
      <c r="LUA34" s="707"/>
      <c r="LUB34" s="707"/>
      <c r="LUC34" s="707"/>
      <c r="LUD34" s="707"/>
      <c r="LUE34" s="707"/>
      <c r="LUF34" s="707"/>
      <c r="LUG34" s="707"/>
      <c r="LUH34" s="707"/>
      <c r="LUI34" s="707"/>
      <c r="LUJ34" s="707"/>
      <c r="LUK34" s="707"/>
      <c r="LUL34" s="707"/>
      <c r="LUM34" s="707"/>
      <c r="LUN34" s="707"/>
      <c r="LUO34" s="707"/>
      <c r="LUP34" s="707"/>
      <c r="LUQ34" s="707"/>
      <c r="LUR34" s="707"/>
      <c r="LUS34" s="707"/>
      <c r="LUT34" s="707"/>
      <c r="LUU34" s="707"/>
      <c r="LUV34" s="707"/>
      <c r="LUW34" s="707"/>
      <c r="LUX34" s="707"/>
      <c r="LUY34" s="707"/>
      <c r="LUZ34" s="707"/>
      <c r="LVA34" s="707"/>
      <c r="LVB34" s="707"/>
      <c r="LVC34" s="707"/>
      <c r="LVD34" s="707"/>
      <c r="LVE34" s="707"/>
      <c r="LVF34" s="707"/>
      <c r="LVG34" s="707"/>
      <c r="LVH34" s="707"/>
      <c r="LVI34" s="707"/>
      <c r="LVJ34" s="707"/>
      <c r="LVK34" s="707"/>
      <c r="LVL34" s="707"/>
      <c r="LVM34" s="707"/>
      <c r="LVN34" s="707"/>
      <c r="LVO34" s="707"/>
      <c r="LVP34" s="707"/>
      <c r="LVQ34" s="707"/>
      <c r="LVR34" s="707"/>
      <c r="LVS34" s="707"/>
      <c r="LVT34" s="707"/>
      <c r="LVU34" s="707"/>
      <c r="LVV34" s="707"/>
      <c r="LVW34" s="707"/>
      <c r="LVX34" s="707"/>
      <c r="LVY34" s="707"/>
      <c r="LVZ34" s="707"/>
      <c r="LWA34" s="707"/>
      <c r="LWB34" s="707"/>
      <c r="LWC34" s="707"/>
      <c r="LWD34" s="707"/>
      <c r="LWE34" s="707"/>
      <c r="LWF34" s="707"/>
      <c r="LWG34" s="707"/>
      <c r="LWH34" s="707"/>
      <c r="LWI34" s="707"/>
      <c r="LWJ34" s="707"/>
      <c r="LWK34" s="707"/>
      <c r="LWL34" s="707"/>
      <c r="LWM34" s="707"/>
      <c r="LWN34" s="707"/>
      <c r="LWO34" s="707"/>
      <c r="LWP34" s="707"/>
      <c r="LWQ34" s="707"/>
      <c r="LWR34" s="707"/>
      <c r="LWS34" s="707"/>
      <c r="LWT34" s="707"/>
      <c r="LWU34" s="707"/>
      <c r="LWV34" s="707"/>
      <c r="LWW34" s="707"/>
      <c r="LWX34" s="707"/>
      <c r="LWY34" s="707"/>
      <c r="LWZ34" s="707"/>
      <c r="LXA34" s="707"/>
      <c r="LXB34" s="707"/>
      <c r="LXC34" s="707"/>
      <c r="LXD34" s="707"/>
      <c r="LXE34" s="707"/>
      <c r="LXF34" s="707"/>
      <c r="LXG34" s="707"/>
      <c r="LXH34" s="707"/>
      <c r="LXI34" s="707"/>
      <c r="LXJ34" s="707"/>
      <c r="LXK34" s="707"/>
      <c r="LXL34" s="707"/>
      <c r="LXM34" s="707"/>
      <c r="LXN34" s="707"/>
      <c r="LXO34" s="707"/>
      <c r="LXP34" s="707"/>
      <c r="LXQ34" s="707"/>
      <c r="LXR34" s="707"/>
      <c r="LXS34" s="707"/>
      <c r="LXT34" s="707"/>
      <c r="LXU34" s="707"/>
      <c r="LXV34" s="707"/>
      <c r="LXW34" s="707"/>
      <c r="LXX34" s="707"/>
      <c r="LXY34" s="707"/>
      <c r="LXZ34" s="707"/>
      <c r="LYA34" s="707"/>
      <c r="LYB34" s="707"/>
      <c r="LYC34" s="707"/>
      <c r="LYD34" s="707"/>
      <c r="LYE34" s="707"/>
      <c r="LYF34" s="707"/>
      <c r="LYG34" s="707"/>
      <c r="LYH34" s="707"/>
      <c r="LYI34" s="707"/>
      <c r="LYJ34" s="707"/>
      <c r="LYK34" s="707"/>
      <c r="LYL34" s="707"/>
      <c r="LYM34" s="707"/>
      <c r="LYN34" s="707"/>
      <c r="LYO34" s="707"/>
      <c r="LYP34" s="707"/>
      <c r="LYQ34" s="707"/>
      <c r="LYR34" s="707"/>
      <c r="LYS34" s="707"/>
      <c r="LYT34" s="707"/>
      <c r="LYU34" s="707"/>
      <c r="LYV34" s="707"/>
      <c r="LYW34" s="707"/>
      <c r="LYX34" s="707"/>
      <c r="LYY34" s="707"/>
      <c r="LYZ34" s="707"/>
      <c r="LZA34" s="707"/>
      <c r="LZB34" s="707"/>
      <c r="LZC34" s="707"/>
      <c r="LZD34" s="707"/>
      <c r="LZE34" s="707"/>
      <c r="LZF34" s="707"/>
      <c r="LZG34" s="707"/>
      <c r="LZH34" s="707"/>
      <c r="LZI34" s="707"/>
      <c r="LZJ34" s="707"/>
      <c r="LZK34" s="707"/>
      <c r="LZL34" s="707"/>
      <c r="LZM34" s="707"/>
      <c r="LZN34" s="707"/>
      <c r="LZO34" s="707"/>
      <c r="LZP34" s="707"/>
      <c r="LZQ34" s="707"/>
      <c r="LZR34" s="707"/>
      <c r="LZS34" s="707"/>
      <c r="LZT34" s="707"/>
      <c r="LZU34" s="707"/>
      <c r="LZV34" s="707"/>
      <c r="LZW34" s="707"/>
      <c r="LZX34" s="707"/>
      <c r="LZY34" s="707"/>
      <c r="LZZ34" s="707"/>
      <c r="MAA34" s="707"/>
      <c r="MAB34" s="707"/>
      <c r="MAC34" s="707"/>
      <c r="MAD34" s="707"/>
      <c r="MAE34" s="707"/>
      <c r="MAF34" s="707"/>
      <c r="MAG34" s="707"/>
      <c r="MAH34" s="707"/>
      <c r="MAI34" s="707"/>
      <c r="MAJ34" s="707"/>
      <c r="MAK34" s="707"/>
      <c r="MAL34" s="707"/>
      <c r="MAM34" s="707"/>
      <c r="MAN34" s="707"/>
      <c r="MAO34" s="707"/>
      <c r="MAP34" s="707"/>
      <c r="MAQ34" s="707"/>
      <c r="MAR34" s="707"/>
      <c r="MAS34" s="707"/>
      <c r="MAT34" s="707"/>
      <c r="MAU34" s="707"/>
      <c r="MAV34" s="707"/>
      <c r="MAW34" s="707"/>
      <c r="MAX34" s="707"/>
      <c r="MAY34" s="707"/>
      <c r="MAZ34" s="707"/>
      <c r="MBA34" s="707"/>
      <c r="MBB34" s="707"/>
      <c r="MBC34" s="707"/>
      <c r="MBD34" s="707"/>
      <c r="MBE34" s="707"/>
      <c r="MBF34" s="707"/>
      <c r="MBG34" s="707"/>
      <c r="MBH34" s="707"/>
      <c r="MBI34" s="707"/>
      <c r="MBJ34" s="707"/>
      <c r="MBK34" s="707"/>
      <c r="MBL34" s="707"/>
      <c r="MBM34" s="707"/>
      <c r="MBN34" s="707"/>
      <c r="MBO34" s="707"/>
      <c r="MBP34" s="707"/>
      <c r="MBQ34" s="707"/>
      <c r="MBR34" s="707"/>
      <c r="MBS34" s="707"/>
      <c r="MBT34" s="707"/>
      <c r="MBU34" s="707"/>
      <c r="MBV34" s="707"/>
      <c r="MBW34" s="707"/>
      <c r="MBX34" s="707"/>
      <c r="MBY34" s="707"/>
      <c r="MBZ34" s="707"/>
      <c r="MCA34" s="707"/>
      <c r="MCB34" s="707"/>
      <c r="MCC34" s="707"/>
      <c r="MCD34" s="707"/>
      <c r="MCE34" s="707"/>
      <c r="MCF34" s="707"/>
      <c r="MCG34" s="707"/>
      <c r="MCH34" s="707"/>
      <c r="MCI34" s="707"/>
      <c r="MCJ34" s="707"/>
      <c r="MCK34" s="707"/>
      <c r="MCL34" s="707"/>
      <c r="MCM34" s="707"/>
      <c r="MCN34" s="707"/>
      <c r="MCO34" s="707"/>
      <c r="MCP34" s="707"/>
      <c r="MCQ34" s="707"/>
      <c r="MCR34" s="707"/>
      <c r="MCS34" s="707"/>
      <c r="MCT34" s="707"/>
      <c r="MCU34" s="707"/>
      <c r="MCV34" s="707"/>
      <c r="MCW34" s="707"/>
      <c r="MCX34" s="707"/>
      <c r="MCY34" s="707"/>
      <c r="MCZ34" s="707"/>
      <c r="MDA34" s="707"/>
      <c r="MDB34" s="707"/>
      <c r="MDC34" s="707"/>
      <c r="MDD34" s="707"/>
      <c r="MDE34" s="707"/>
      <c r="MDF34" s="707"/>
      <c r="MDG34" s="707"/>
      <c r="MDH34" s="707"/>
      <c r="MDI34" s="707"/>
      <c r="MDJ34" s="707"/>
      <c r="MDK34" s="707"/>
      <c r="MDL34" s="707"/>
      <c r="MDM34" s="707"/>
      <c r="MDN34" s="707"/>
      <c r="MDO34" s="707"/>
      <c r="MDP34" s="707"/>
      <c r="MDQ34" s="707"/>
      <c r="MDR34" s="707"/>
      <c r="MDS34" s="707"/>
      <c r="MDT34" s="707"/>
      <c r="MDU34" s="707"/>
      <c r="MDV34" s="707"/>
      <c r="MDW34" s="707"/>
      <c r="MDX34" s="707"/>
      <c r="MDY34" s="707"/>
      <c r="MDZ34" s="707"/>
      <c r="MEA34" s="707"/>
      <c r="MEB34" s="707"/>
      <c r="MEC34" s="707"/>
      <c r="MED34" s="707"/>
      <c r="MEE34" s="707"/>
      <c r="MEF34" s="707"/>
      <c r="MEG34" s="707"/>
      <c r="MEH34" s="707"/>
      <c r="MEI34" s="707"/>
      <c r="MEJ34" s="707"/>
      <c r="MEK34" s="707"/>
      <c r="MEL34" s="707"/>
      <c r="MEM34" s="707"/>
      <c r="MEN34" s="707"/>
      <c r="MEO34" s="707"/>
      <c r="MEP34" s="707"/>
      <c r="MEQ34" s="707"/>
      <c r="MER34" s="707"/>
      <c r="MES34" s="707"/>
      <c r="MET34" s="707"/>
      <c r="MEU34" s="707"/>
      <c r="MEV34" s="707"/>
      <c r="MEW34" s="707"/>
      <c r="MEX34" s="707"/>
      <c r="MEY34" s="707"/>
      <c r="MEZ34" s="707"/>
      <c r="MFA34" s="707"/>
      <c r="MFB34" s="707"/>
      <c r="MFC34" s="707"/>
      <c r="MFD34" s="707"/>
      <c r="MFE34" s="707"/>
      <c r="MFF34" s="707"/>
      <c r="MFG34" s="707"/>
      <c r="MFH34" s="707"/>
      <c r="MFI34" s="707"/>
      <c r="MFJ34" s="707"/>
      <c r="MFK34" s="707"/>
      <c r="MFL34" s="707"/>
      <c r="MFM34" s="707"/>
      <c r="MFN34" s="707"/>
      <c r="MFO34" s="707"/>
      <c r="MFP34" s="707"/>
      <c r="MFQ34" s="707"/>
      <c r="MFR34" s="707"/>
      <c r="MFS34" s="707"/>
      <c r="MFT34" s="707"/>
      <c r="MFU34" s="707"/>
      <c r="MFV34" s="707"/>
      <c r="MFW34" s="707"/>
      <c r="MFX34" s="707"/>
      <c r="MFY34" s="707"/>
      <c r="MFZ34" s="707"/>
      <c r="MGA34" s="707"/>
      <c r="MGB34" s="707"/>
      <c r="MGC34" s="707"/>
      <c r="MGD34" s="707"/>
      <c r="MGE34" s="707"/>
      <c r="MGF34" s="707"/>
      <c r="MGG34" s="707"/>
      <c r="MGH34" s="707"/>
      <c r="MGI34" s="707"/>
      <c r="MGJ34" s="707"/>
      <c r="MGK34" s="707"/>
      <c r="MGL34" s="707"/>
      <c r="MGM34" s="707"/>
      <c r="MGN34" s="707"/>
      <c r="MGO34" s="707"/>
      <c r="MGP34" s="707"/>
      <c r="MGQ34" s="707"/>
      <c r="MGR34" s="707"/>
      <c r="MGS34" s="707"/>
      <c r="MGT34" s="707"/>
      <c r="MGU34" s="707"/>
      <c r="MGV34" s="707"/>
      <c r="MGW34" s="707"/>
      <c r="MGX34" s="707"/>
      <c r="MGY34" s="707"/>
      <c r="MGZ34" s="707"/>
      <c r="MHA34" s="707"/>
      <c r="MHB34" s="707"/>
      <c r="MHC34" s="707"/>
      <c r="MHD34" s="707"/>
      <c r="MHE34" s="707"/>
      <c r="MHF34" s="707"/>
      <c r="MHG34" s="707"/>
      <c r="MHH34" s="707"/>
      <c r="MHI34" s="707"/>
      <c r="MHJ34" s="707"/>
      <c r="MHK34" s="707"/>
      <c r="MHL34" s="707"/>
      <c r="MHM34" s="707"/>
      <c r="MHN34" s="707"/>
      <c r="MHO34" s="707"/>
      <c r="MHP34" s="707"/>
      <c r="MHQ34" s="707"/>
      <c r="MHR34" s="707"/>
      <c r="MHS34" s="707"/>
      <c r="MHT34" s="707"/>
      <c r="MHU34" s="707"/>
      <c r="MHV34" s="707"/>
      <c r="MHW34" s="707"/>
      <c r="MHX34" s="707"/>
      <c r="MHY34" s="707"/>
      <c r="MHZ34" s="707"/>
      <c r="MIA34" s="707"/>
      <c r="MIB34" s="707"/>
      <c r="MIC34" s="707"/>
      <c r="MID34" s="707"/>
      <c r="MIE34" s="707"/>
      <c r="MIF34" s="707"/>
      <c r="MIG34" s="707"/>
      <c r="MIH34" s="707"/>
      <c r="MII34" s="707"/>
      <c r="MIJ34" s="707"/>
      <c r="MIK34" s="707"/>
      <c r="MIL34" s="707"/>
      <c r="MIM34" s="707"/>
      <c r="MIN34" s="707"/>
      <c r="MIO34" s="707"/>
      <c r="MIP34" s="707"/>
      <c r="MIQ34" s="707"/>
      <c r="MIR34" s="707"/>
      <c r="MIS34" s="707"/>
      <c r="MIT34" s="707"/>
      <c r="MIU34" s="707"/>
      <c r="MIV34" s="707"/>
      <c r="MIW34" s="707"/>
      <c r="MIX34" s="707"/>
      <c r="MIY34" s="707"/>
      <c r="MIZ34" s="707"/>
      <c r="MJA34" s="707"/>
      <c r="MJB34" s="707"/>
      <c r="MJC34" s="707"/>
      <c r="MJD34" s="707"/>
      <c r="MJE34" s="707"/>
      <c r="MJF34" s="707"/>
      <c r="MJG34" s="707"/>
      <c r="MJH34" s="707"/>
      <c r="MJI34" s="707"/>
      <c r="MJJ34" s="707"/>
      <c r="MJK34" s="707"/>
      <c r="MJL34" s="707"/>
      <c r="MJM34" s="707"/>
      <c r="MJN34" s="707"/>
      <c r="MJO34" s="707"/>
      <c r="MJP34" s="707"/>
      <c r="MJQ34" s="707"/>
      <c r="MJR34" s="707"/>
      <c r="MJS34" s="707"/>
      <c r="MJT34" s="707"/>
      <c r="MJU34" s="707"/>
      <c r="MJV34" s="707"/>
      <c r="MJW34" s="707"/>
      <c r="MJX34" s="707"/>
      <c r="MJY34" s="707"/>
      <c r="MJZ34" s="707"/>
      <c r="MKA34" s="707"/>
      <c r="MKB34" s="707"/>
      <c r="MKC34" s="707"/>
      <c r="MKD34" s="707"/>
      <c r="MKE34" s="707"/>
      <c r="MKF34" s="707"/>
      <c r="MKG34" s="707"/>
      <c r="MKH34" s="707"/>
      <c r="MKI34" s="707"/>
      <c r="MKJ34" s="707"/>
      <c r="MKK34" s="707"/>
      <c r="MKL34" s="707"/>
      <c r="MKM34" s="707"/>
      <c r="MKN34" s="707"/>
      <c r="MKO34" s="707"/>
      <c r="MKP34" s="707"/>
      <c r="MKQ34" s="707"/>
      <c r="MKR34" s="707"/>
      <c r="MKS34" s="707"/>
      <c r="MKT34" s="707"/>
      <c r="MKU34" s="707"/>
      <c r="MKV34" s="707"/>
      <c r="MKW34" s="707"/>
      <c r="MKX34" s="707"/>
      <c r="MKY34" s="707"/>
      <c r="MKZ34" s="707"/>
      <c r="MLA34" s="707"/>
      <c r="MLB34" s="707"/>
      <c r="MLC34" s="707"/>
      <c r="MLD34" s="707"/>
      <c r="MLE34" s="707"/>
      <c r="MLF34" s="707"/>
      <c r="MLG34" s="707"/>
      <c r="MLH34" s="707"/>
      <c r="MLI34" s="707"/>
      <c r="MLJ34" s="707"/>
      <c r="MLK34" s="707"/>
      <c r="MLL34" s="707"/>
      <c r="MLM34" s="707"/>
      <c r="MLN34" s="707"/>
      <c r="MLO34" s="707"/>
      <c r="MLP34" s="707"/>
      <c r="MLQ34" s="707"/>
      <c r="MLR34" s="707"/>
      <c r="MLS34" s="707"/>
      <c r="MLT34" s="707"/>
      <c r="MLU34" s="707"/>
      <c r="MLV34" s="707"/>
      <c r="MLW34" s="707"/>
      <c r="MLX34" s="707"/>
      <c r="MLY34" s="707"/>
      <c r="MLZ34" s="707"/>
      <c r="MMA34" s="707"/>
      <c r="MMB34" s="707"/>
      <c r="MMC34" s="707"/>
      <c r="MMD34" s="707"/>
      <c r="MME34" s="707"/>
      <c r="MMF34" s="707"/>
      <c r="MMG34" s="707"/>
      <c r="MMH34" s="707"/>
      <c r="MMI34" s="707"/>
      <c r="MMJ34" s="707"/>
      <c r="MMK34" s="707"/>
      <c r="MML34" s="707"/>
      <c r="MMM34" s="707"/>
      <c r="MMN34" s="707"/>
      <c r="MMO34" s="707"/>
      <c r="MMP34" s="707"/>
      <c r="MMQ34" s="707"/>
      <c r="MMR34" s="707"/>
      <c r="MMS34" s="707"/>
      <c r="MMT34" s="707"/>
      <c r="MMU34" s="707"/>
      <c r="MMV34" s="707"/>
      <c r="MMW34" s="707"/>
      <c r="MMX34" s="707"/>
      <c r="MMY34" s="707"/>
      <c r="MMZ34" s="707"/>
      <c r="MNA34" s="707"/>
      <c r="MNB34" s="707"/>
      <c r="MNC34" s="707"/>
      <c r="MND34" s="707"/>
      <c r="MNE34" s="707"/>
      <c r="MNF34" s="707"/>
      <c r="MNG34" s="707"/>
      <c r="MNH34" s="707"/>
      <c r="MNI34" s="707"/>
      <c r="MNJ34" s="707"/>
      <c r="MNK34" s="707"/>
      <c r="MNL34" s="707"/>
      <c r="MNM34" s="707"/>
      <c r="MNN34" s="707"/>
      <c r="MNO34" s="707"/>
      <c r="MNP34" s="707"/>
      <c r="MNQ34" s="707"/>
      <c r="MNR34" s="707"/>
      <c r="MNS34" s="707"/>
      <c r="MNT34" s="707"/>
      <c r="MNU34" s="707"/>
      <c r="MNV34" s="707"/>
      <c r="MNW34" s="707"/>
      <c r="MNX34" s="707"/>
      <c r="MNY34" s="707"/>
      <c r="MNZ34" s="707"/>
      <c r="MOA34" s="707"/>
      <c r="MOB34" s="707"/>
      <c r="MOC34" s="707"/>
      <c r="MOD34" s="707"/>
      <c r="MOE34" s="707"/>
      <c r="MOF34" s="707"/>
      <c r="MOG34" s="707"/>
      <c r="MOH34" s="707"/>
      <c r="MOI34" s="707"/>
      <c r="MOJ34" s="707"/>
      <c r="MOK34" s="707"/>
      <c r="MOL34" s="707"/>
      <c r="MOM34" s="707"/>
      <c r="MON34" s="707"/>
      <c r="MOO34" s="707"/>
      <c r="MOP34" s="707"/>
      <c r="MOQ34" s="707"/>
      <c r="MOR34" s="707"/>
      <c r="MOS34" s="707"/>
      <c r="MOT34" s="707"/>
      <c r="MOU34" s="707"/>
      <c r="MOV34" s="707"/>
      <c r="MOW34" s="707"/>
      <c r="MOX34" s="707"/>
      <c r="MOY34" s="707"/>
      <c r="MOZ34" s="707"/>
      <c r="MPA34" s="707"/>
      <c r="MPB34" s="707"/>
      <c r="MPC34" s="707"/>
      <c r="MPD34" s="707"/>
      <c r="MPE34" s="707"/>
      <c r="MPF34" s="707"/>
      <c r="MPG34" s="707"/>
      <c r="MPH34" s="707"/>
      <c r="MPI34" s="707"/>
      <c r="MPJ34" s="707"/>
      <c r="MPK34" s="707"/>
      <c r="MPL34" s="707"/>
      <c r="MPM34" s="707"/>
      <c r="MPN34" s="707"/>
      <c r="MPO34" s="707"/>
      <c r="MPP34" s="707"/>
      <c r="MPQ34" s="707"/>
      <c r="MPR34" s="707"/>
      <c r="MPS34" s="707"/>
      <c r="MPT34" s="707"/>
      <c r="MPU34" s="707"/>
      <c r="MPV34" s="707"/>
      <c r="MPW34" s="707"/>
      <c r="MPX34" s="707"/>
      <c r="MPY34" s="707"/>
      <c r="MPZ34" s="707"/>
      <c r="MQA34" s="707"/>
      <c r="MQB34" s="707"/>
      <c r="MQC34" s="707"/>
      <c r="MQD34" s="707"/>
      <c r="MQE34" s="707"/>
      <c r="MQF34" s="707"/>
      <c r="MQG34" s="707"/>
      <c r="MQH34" s="707"/>
      <c r="MQI34" s="707"/>
      <c r="MQJ34" s="707"/>
      <c r="MQK34" s="707"/>
      <c r="MQL34" s="707"/>
      <c r="MQM34" s="707"/>
      <c r="MQN34" s="707"/>
      <c r="MQO34" s="707"/>
      <c r="MQP34" s="707"/>
      <c r="MQQ34" s="707"/>
      <c r="MQR34" s="707"/>
      <c r="MQS34" s="707"/>
      <c r="MQT34" s="707"/>
      <c r="MQU34" s="707"/>
      <c r="MQV34" s="707"/>
      <c r="MQW34" s="707"/>
      <c r="MQX34" s="707"/>
      <c r="MQY34" s="707"/>
      <c r="MQZ34" s="707"/>
      <c r="MRA34" s="707"/>
      <c r="MRB34" s="707"/>
      <c r="MRC34" s="707"/>
      <c r="MRD34" s="707"/>
      <c r="MRE34" s="707"/>
      <c r="MRF34" s="707"/>
      <c r="MRG34" s="707"/>
      <c r="MRH34" s="707"/>
      <c r="MRI34" s="707"/>
      <c r="MRJ34" s="707"/>
      <c r="MRK34" s="707"/>
      <c r="MRL34" s="707"/>
      <c r="MRM34" s="707"/>
      <c r="MRN34" s="707"/>
      <c r="MRO34" s="707"/>
      <c r="MRP34" s="707"/>
      <c r="MRQ34" s="707"/>
      <c r="MRR34" s="707"/>
      <c r="MRS34" s="707"/>
      <c r="MRT34" s="707"/>
      <c r="MRU34" s="707"/>
      <c r="MRV34" s="707"/>
      <c r="MRW34" s="707"/>
      <c r="MRX34" s="707"/>
      <c r="MRY34" s="707"/>
      <c r="MRZ34" s="707"/>
      <c r="MSA34" s="707"/>
      <c r="MSB34" s="707"/>
      <c r="MSC34" s="707"/>
      <c r="MSD34" s="707"/>
      <c r="MSE34" s="707"/>
      <c r="MSF34" s="707"/>
      <c r="MSG34" s="707"/>
      <c r="MSH34" s="707"/>
      <c r="MSI34" s="707"/>
      <c r="MSJ34" s="707"/>
      <c r="MSK34" s="707"/>
      <c r="MSL34" s="707"/>
      <c r="MSM34" s="707"/>
      <c r="MSN34" s="707"/>
      <c r="MSO34" s="707"/>
      <c r="MSP34" s="707"/>
      <c r="MSQ34" s="707"/>
      <c r="MSR34" s="707"/>
      <c r="MSS34" s="707"/>
      <c r="MST34" s="707"/>
      <c r="MSU34" s="707"/>
      <c r="MSV34" s="707"/>
      <c r="MSW34" s="707"/>
      <c r="MSX34" s="707"/>
      <c r="MSY34" s="707"/>
      <c r="MSZ34" s="707"/>
      <c r="MTA34" s="707"/>
      <c r="MTB34" s="707"/>
      <c r="MTC34" s="707"/>
      <c r="MTD34" s="707"/>
      <c r="MTE34" s="707"/>
      <c r="MTF34" s="707"/>
      <c r="MTG34" s="707"/>
      <c r="MTH34" s="707"/>
      <c r="MTI34" s="707"/>
      <c r="MTJ34" s="707"/>
      <c r="MTK34" s="707"/>
      <c r="MTL34" s="707"/>
      <c r="MTM34" s="707"/>
      <c r="MTN34" s="707"/>
      <c r="MTO34" s="707"/>
      <c r="MTP34" s="707"/>
      <c r="MTQ34" s="707"/>
      <c r="MTR34" s="707"/>
      <c r="MTS34" s="707"/>
      <c r="MTT34" s="707"/>
      <c r="MTU34" s="707"/>
      <c r="MTV34" s="707"/>
      <c r="MTW34" s="707"/>
      <c r="MTX34" s="707"/>
      <c r="MTY34" s="707"/>
      <c r="MTZ34" s="707"/>
      <c r="MUA34" s="707"/>
      <c r="MUB34" s="707"/>
      <c r="MUC34" s="707"/>
      <c r="MUD34" s="707"/>
      <c r="MUE34" s="707"/>
      <c r="MUF34" s="707"/>
      <c r="MUG34" s="707"/>
      <c r="MUH34" s="707"/>
      <c r="MUI34" s="707"/>
      <c r="MUJ34" s="707"/>
      <c r="MUK34" s="707"/>
      <c r="MUL34" s="707"/>
      <c r="MUM34" s="707"/>
      <c r="MUN34" s="707"/>
      <c r="MUO34" s="707"/>
      <c r="MUP34" s="707"/>
      <c r="MUQ34" s="707"/>
      <c r="MUR34" s="707"/>
      <c r="MUS34" s="707"/>
      <c r="MUT34" s="707"/>
      <c r="MUU34" s="707"/>
      <c r="MUV34" s="707"/>
      <c r="MUW34" s="707"/>
      <c r="MUX34" s="707"/>
      <c r="MUY34" s="707"/>
      <c r="MUZ34" s="707"/>
      <c r="MVA34" s="707"/>
      <c r="MVB34" s="707"/>
      <c r="MVC34" s="707"/>
      <c r="MVD34" s="707"/>
      <c r="MVE34" s="707"/>
      <c r="MVF34" s="707"/>
      <c r="MVG34" s="707"/>
      <c r="MVH34" s="707"/>
      <c r="MVI34" s="707"/>
      <c r="MVJ34" s="707"/>
      <c r="MVK34" s="707"/>
      <c r="MVL34" s="707"/>
      <c r="MVM34" s="707"/>
      <c r="MVN34" s="707"/>
      <c r="MVO34" s="707"/>
      <c r="MVP34" s="707"/>
      <c r="MVQ34" s="707"/>
      <c r="MVR34" s="707"/>
      <c r="MVS34" s="707"/>
      <c r="MVT34" s="707"/>
      <c r="MVU34" s="707"/>
      <c r="MVV34" s="707"/>
      <c r="MVW34" s="707"/>
      <c r="MVX34" s="707"/>
      <c r="MVY34" s="707"/>
      <c r="MVZ34" s="707"/>
      <c r="MWA34" s="707"/>
      <c r="MWB34" s="707"/>
      <c r="MWC34" s="707"/>
      <c r="MWD34" s="707"/>
      <c r="MWE34" s="707"/>
      <c r="MWF34" s="707"/>
      <c r="MWG34" s="707"/>
      <c r="MWH34" s="707"/>
      <c r="MWI34" s="707"/>
      <c r="MWJ34" s="707"/>
      <c r="MWK34" s="707"/>
      <c r="MWL34" s="707"/>
      <c r="MWM34" s="707"/>
      <c r="MWN34" s="707"/>
      <c r="MWO34" s="707"/>
      <c r="MWP34" s="707"/>
      <c r="MWQ34" s="707"/>
      <c r="MWR34" s="707"/>
      <c r="MWS34" s="707"/>
      <c r="MWT34" s="707"/>
      <c r="MWU34" s="707"/>
      <c r="MWV34" s="707"/>
      <c r="MWW34" s="707"/>
      <c r="MWX34" s="707"/>
      <c r="MWY34" s="707"/>
      <c r="MWZ34" s="707"/>
      <c r="MXA34" s="707"/>
      <c r="MXB34" s="707"/>
      <c r="MXC34" s="707"/>
      <c r="MXD34" s="707"/>
      <c r="MXE34" s="707"/>
      <c r="MXF34" s="707"/>
      <c r="MXG34" s="707"/>
      <c r="MXH34" s="707"/>
      <c r="MXI34" s="707"/>
      <c r="MXJ34" s="707"/>
      <c r="MXK34" s="707"/>
      <c r="MXL34" s="707"/>
      <c r="MXM34" s="707"/>
      <c r="MXN34" s="707"/>
      <c r="MXO34" s="707"/>
      <c r="MXP34" s="707"/>
      <c r="MXQ34" s="707"/>
      <c r="MXR34" s="707"/>
      <c r="MXS34" s="707"/>
      <c r="MXT34" s="707"/>
      <c r="MXU34" s="707"/>
      <c r="MXV34" s="707"/>
      <c r="MXW34" s="707"/>
      <c r="MXX34" s="707"/>
      <c r="MXY34" s="707"/>
      <c r="MXZ34" s="707"/>
      <c r="MYA34" s="707"/>
      <c r="MYB34" s="707"/>
      <c r="MYC34" s="707"/>
      <c r="MYD34" s="707"/>
      <c r="MYE34" s="707"/>
      <c r="MYF34" s="707"/>
      <c r="MYG34" s="707"/>
      <c r="MYH34" s="707"/>
      <c r="MYI34" s="707"/>
      <c r="MYJ34" s="707"/>
      <c r="MYK34" s="707"/>
      <c r="MYL34" s="707"/>
      <c r="MYM34" s="707"/>
      <c r="MYN34" s="707"/>
      <c r="MYO34" s="707"/>
      <c r="MYP34" s="707"/>
      <c r="MYQ34" s="707"/>
      <c r="MYR34" s="707"/>
      <c r="MYS34" s="707"/>
      <c r="MYT34" s="707"/>
      <c r="MYU34" s="707"/>
      <c r="MYV34" s="707"/>
      <c r="MYW34" s="707"/>
      <c r="MYX34" s="707"/>
      <c r="MYY34" s="707"/>
      <c r="MYZ34" s="707"/>
      <c r="MZA34" s="707"/>
      <c r="MZB34" s="707"/>
      <c r="MZC34" s="707"/>
      <c r="MZD34" s="707"/>
      <c r="MZE34" s="707"/>
      <c r="MZF34" s="707"/>
      <c r="MZG34" s="707"/>
      <c r="MZH34" s="707"/>
      <c r="MZI34" s="707"/>
      <c r="MZJ34" s="707"/>
      <c r="MZK34" s="707"/>
      <c r="MZL34" s="707"/>
      <c r="MZM34" s="707"/>
      <c r="MZN34" s="707"/>
      <c r="MZO34" s="707"/>
      <c r="MZP34" s="707"/>
      <c r="MZQ34" s="707"/>
      <c r="MZR34" s="707"/>
      <c r="MZS34" s="707"/>
      <c r="MZT34" s="707"/>
      <c r="MZU34" s="707"/>
      <c r="MZV34" s="707"/>
      <c r="MZW34" s="707"/>
      <c r="MZX34" s="707"/>
      <c r="MZY34" s="707"/>
      <c r="MZZ34" s="707"/>
      <c r="NAA34" s="707"/>
      <c r="NAB34" s="707"/>
      <c r="NAC34" s="707"/>
      <c r="NAD34" s="707"/>
      <c r="NAE34" s="707"/>
      <c r="NAF34" s="707"/>
      <c r="NAG34" s="707"/>
      <c r="NAH34" s="707"/>
      <c r="NAI34" s="707"/>
      <c r="NAJ34" s="707"/>
      <c r="NAK34" s="707"/>
      <c r="NAL34" s="707"/>
      <c r="NAM34" s="707"/>
      <c r="NAN34" s="707"/>
      <c r="NAO34" s="707"/>
      <c r="NAP34" s="707"/>
      <c r="NAQ34" s="707"/>
      <c r="NAR34" s="707"/>
      <c r="NAS34" s="707"/>
      <c r="NAT34" s="707"/>
      <c r="NAU34" s="707"/>
      <c r="NAV34" s="707"/>
      <c r="NAW34" s="707"/>
      <c r="NAX34" s="707"/>
      <c r="NAY34" s="707"/>
      <c r="NAZ34" s="707"/>
      <c r="NBA34" s="707"/>
      <c r="NBB34" s="707"/>
      <c r="NBC34" s="707"/>
      <c r="NBD34" s="707"/>
      <c r="NBE34" s="707"/>
      <c r="NBF34" s="707"/>
      <c r="NBG34" s="707"/>
      <c r="NBH34" s="707"/>
      <c r="NBI34" s="707"/>
      <c r="NBJ34" s="707"/>
      <c r="NBK34" s="707"/>
      <c r="NBL34" s="707"/>
      <c r="NBM34" s="707"/>
      <c r="NBN34" s="707"/>
      <c r="NBO34" s="707"/>
      <c r="NBP34" s="707"/>
      <c r="NBQ34" s="707"/>
      <c r="NBR34" s="707"/>
      <c r="NBS34" s="707"/>
      <c r="NBT34" s="707"/>
      <c r="NBU34" s="707"/>
      <c r="NBV34" s="707"/>
      <c r="NBW34" s="707"/>
      <c r="NBX34" s="707"/>
      <c r="NBY34" s="707"/>
      <c r="NBZ34" s="707"/>
      <c r="NCA34" s="707"/>
      <c r="NCB34" s="707"/>
      <c r="NCC34" s="707"/>
      <c r="NCD34" s="707"/>
      <c r="NCE34" s="707"/>
      <c r="NCF34" s="707"/>
      <c r="NCG34" s="707"/>
      <c r="NCH34" s="707"/>
      <c r="NCI34" s="707"/>
      <c r="NCJ34" s="707"/>
      <c r="NCK34" s="707"/>
      <c r="NCL34" s="707"/>
      <c r="NCM34" s="707"/>
      <c r="NCN34" s="707"/>
      <c r="NCO34" s="707"/>
      <c r="NCP34" s="707"/>
      <c r="NCQ34" s="707"/>
      <c r="NCR34" s="707"/>
      <c r="NCS34" s="707"/>
      <c r="NCT34" s="707"/>
      <c r="NCU34" s="707"/>
      <c r="NCV34" s="707"/>
      <c r="NCW34" s="707"/>
      <c r="NCX34" s="707"/>
      <c r="NCY34" s="707"/>
      <c r="NCZ34" s="707"/>
      <c r="NDA34" s="707"/>
      <c r="NDB34" s="707"/>
      <c r="NDC34" s="707"/>
      <c r="NDD34" s="707"/>
      <c r="NDE34" s="707"/>
      <c r="NDF34" s="707"/>
      <c r="NDG34" s="707"/>
      <c r="NDH34" s="707"/>
      <c r="NDI34" s="707"/>
      <c r="NDJ34" s="707"/>
      <c r="NDK34" s="707"/>
      <c r="NDL34" s="707"/>
      <c r="NDM34" s="707"/>
      <c r="NDN34" s="707"/>
      <c r="NDO34" s="707"/>
      <c r="NDP34" s="707"/>
      <c r="NDQ34" s="707"/>
      <c r="NDR34" s="707"/>
      <c r="NDS34" s="707"/>
      <c r="NDT34" s="707"/>
      <c r="NDU34" s="707"/>
      <c r="NDV34" s="707"/>
      <c r="NDW34" s="707"/>
      <c r="NDX34" s="707"/>
      <c r="NDY34" s="707"/>
      <c r="NDZ34" s="707"/>
      <c r="NEA34" s="707"/>
      <c r="NEB34" s="707"/>
      <c r="NEC34" s="707"/>
      <c r="NED34" s="707"/>
      <c r="NEE34" s="707"/>
      <c r="NEF34" s="707"/>
      <c r="NEG34" s="707"/>
      <c r="NEH34" s="707"/>
      <c r="NEI34" s="707"/>
      <c r="NEJ34" s="707"/>
      <c r="NEK34" s="707"/>
      <c r="NEL34" s="707"/>
      <c r="NEM34" s="707"/>
      <c r="NEN34" s="707"/>
      <c r="NEO34" s="707"/>
      <c r="NEP34" s="707"/>
      <c r="NEQ34" s="707"/>
      <c r="NER34" s="707"/>
      <c r="NES34" s="707"/>
      <c r="NET34" s="707"/>
      <c r="NEU34" s="707"/>
      <c r="NEV34" s="707"/>
      <c r="NEW34" s="707"/>
      <c r="NEX34" s="707"/>
      <c r="NEY34" s="707"/>
      <c r="NEZ34" s="707"/>
      <c r="NFA34" s="707"/>
      <c r="NFB34" s="707"/>
      <c r="NFC34" s="707"/>
      <c r="NFD34" s="707"/>
      <c r="NFE34" s="707"/>
      <c r="NFF34" s="707"/>
      <c r="NFG34" s="707"/>
      <c r="NFH34" s="707"/>
      <c r="NFI34" s="707"/>
      <c r="NFJ34" s="707"/>
      <c r="NFK34" s="707"/>
      <c r="NFL34" s="707"/>
      <c r="NFM34" s="707"/>
      <c r="NFN34" s="707"/>
      <c r="NFO34" s="707"/>
      <c r="NFP34" s="707"/>
      <c r="NFQ34" s="707"/>
      <c r="NFR34" s="707"/>
      <c r="NFS34" s="707"/>
      <c r="NFT34" s="707"/>
      <c r="NFU34" s="707"/>
      <c r="NFV34" s="707"/>
      <c r="NFW34" s="707"/>
      <c r="NFX34" s="707"/>
      <c r="NFY34" s="707"/>
      <c r="NFZ34" s="707"/>
      <c r="NGA34" s="707"/>
      <c r="NGB34" s="707"/>
      <c r="NGC34" s="707"/>
      <c r="NGD34" s="707"/>
      <c r="NGE34" s="707"/>
      <c r="NGF34" s="707"/>
      <c r="NGG34" s="707"/>
      <c r="NGH34" s="707"/>
      <c r="NGI34" s="707"/>
      <c r="NGJ34" s="707"/>
      <c r="NGK34" s="707"/>
      <c r="NGL34" s="707"/>
      <c r="NGM34" s="707"/>
      <c r="NGN34" s="707"/>
      <c r="NGO34" s="707"/>
      <c r="NGP34" s="707"/>
      <c r="NGQ34" s="707"/>
      <c r="NGR34" s="707"/>
      <c r="NGS34" s="707"/>
      <c r="NGT34" s="707"/>
      <c r="NGU34" s="707"/>
      <c r="NGV34" s="707"/>
      <c r="NGW34" s="707"/>
      <c r="NGX34" s="707"/>
      <c r="NGY34" s="707"/>
      <c r="NGZ34" s="707"/>
      <c r="NHA34" s="707"/>
      <c r="NHB34" s="707"/>
      <c r="NHC34" s="707"/>
      <c r="NHD34" s="707"/>
      <c r="NHE34" s="707"/>
      <c r="NHF34" s="707"/>
      <c r="NHG34" s="707"/>
      <c r="NHH34" s="707"/>
      <c r="NHI34" s="707"/>
      <c r="NHJ34" s="707"/>
      <c r="NHK34" s="707"/>
      <c r="NHL34" s="707"/>
      <c r="NHM34" s="707"/>
      <c r="NHN34" s="707"/>
      <c r="NHO34" s="707"/>
      <c r="NHP34" s="707"/>
      <c r="NHQ34" s="707"/>
      <c r="NHR34" s="707"/>
      <c r="NHS34" s="707"/>
      <c r="NHT34" s="707"/>
      <c r="NHU34" s="707"/>
      <c r="NHV34" s="707"/>
      <c r="NHW34" s="707"/>
      <c r="NHX34" s="707"/>
      <c r="NHY34" s="707"/>
      <c r="NHZ34" s="707"/>
      <c r="NIA34" s="707"/>
      <c r="NIB34" s="707"/>
      <c r="NIC34" s="707"/>
      <c r="NID34" s="707"/>
      <c r="NIE34" s="707"/>
      <c r="NIF34" s="707"/>
      <c r="NIG34" s="707"/>
      <c r="NIH34" s="707"/>
      <c r="NII34" s="707"/>
      <c r="NIJ34" s="707"/>
      <c r="NIK34" s="707"/>
      <c r="NIL34" s="707"/>
      <c r="NIM34" s="707"/>
      <c r="NIN34" s="707"/>
      <c r="NIO34" s="707"/>
      <c r="NIP34" s="707"/>
      <c r="NIQ34" s="707"/>
      <c r="NIR34" s="707"/>
      <c r="NIS34" s="707"/>
      <c r="NIT34" s="707"/>
      <c r="NIU34" s="707"/>
      <c r="NIV34" s="707"/>
      <c r="NIW34" s="707"/>
      <c r="NIX34" s="707"/>
      <c r="NIY34" s="707"/>
      <c r="NIZ34" s="707"/>
      <c r="NJA34" s="707"/>
      <c r="NJB34" s="707"/>
      <c r="NJC34" s="707"/>
      <c r="NJD34" s="707"/>
      <c r="NJE34" s="707"/>
      <c r="NJF34" s="707"/>
      <c r="NJG34" s="707"/>
      <c r="NJH34" s="707"/>
      <c r="NJI34" s="707"/>
      <c r="NJJ34" s="707"/>
      <c r="NJK34" s="707"/>
      <c r="NJL34" s="707"/>
      <c r="NJM34" s="707"/>
      <c r="NJN34" s="707"/>
      <c r="NJO34" s="707"/>
      <c r="NJP34" s="707"/>
      <c r="NJQ34" s="707"/>
      <c r="NJR34" s="707"/>
      <c r="NJS34" s="707"/>
      <c r="NJT34" s="707"/>
      <c r="NJU34" s="707"/>
      <c r="NJV34" s="707"/>
      <c r="NJW34" s="707"/>
      <c r="NJX34" s="707"/>
      <c r="NJY34" s="707"/>
      <c r="NJZ34" s="707"/>
      <c r="NKA34" s="707"/>
      <c r="NKB34" s="707"/>
      <c r="NKC34" s="707"/>
      <c r="NKD34" s="707"/>
      <c r="NKE34" s="707"/>
      <c r="NKF34" s="707"/>
      <c r="NKG34" s="707"/>
      <c r="NKH34" s="707"/>
      <c r="NKI34" s="707"/>
      <c r="NKJ34" s="707"/>
      <c r="NKK34" s="707"/>
      <c r="NKL34" s="707"/>
      <c r="NKM34" s="707"/>
      <c r="NKN34" s="707"/>
      <c r="NKO34" s="707"/>
      <c r="NKP34" s="707"/>
      <c r="NKQ34" s="707"/>
      <c r="NKR34" s="707"/>
      <c r="NKS34" s="707"/>
      <c r="NKT34" s="707"/>
      <c r="NKU34" s="707"/>
      <c r="NKV34" s="707"/>
      <c r="NKW34" s="707"/>
      <c r="NKX34" s="707"/>
      <c r="NKY34" s="707"/>
      <c r="NKZ34" s="707"/>
      <c r="NLA34" s="707"/>
      <c r="NLB34" s="707"/>
      <c r="NLC34" s="707"/>
      <c r="NLD34" s="707"/>
      <c r="NLE34" s="707"/>
      <c r="NLF34" s="707"/>
      <c r="NLG34" s="707"/>
      <c r="NLH34" s="707"/>
      <c r="NLI34" s="707"/>
      <c r="NLJ34" s="707"/>
      <c r="NLK34" s="707"/>
      <c r="NLL34" s="707"/>
      <c r="NLM34" s="707"/>
      <c r="NLN34" s="707"/>
      <c r="NLO34" s="707"/>
      <c r="NLP34" s="707"/>
      <c r="NLQ34" s="707"/>
      <c r="NLR34" s="707"/>
      <c r="NLS34" s="707"/>
      <c r="NLT34" s="707"/>
      <c r="NLU34" s="707"/>
      <c r="NLV34" s="707"/>
      <c r="NLW34" s="707"/>
      <c r="NLX34" s="707"/>
      <c r="NLY34" s="707"/>
      <c r="NLZ34" s="707"/>
      <c r="NMA34" s="707"/>
      <c r="NMB34" s="707"/>
      <c r="NMC34" s="707"/>
      <c r="NMD34" s="707"/>
      <c r="NME34" s="707"/>
      <c r="NMF34" s="707"/>
      <c r="NMG34" s="707"/>
      <c r="NMH34" s="707"/>
      <c r="NMI34" s="707"/>
      <c r="NMJ34" s="707"/>
      <c r="NMK34" s="707"/>
      <c r="NML34" s="707"/>
      <c r="NMM34" s="707"/>
      <c r="NMN34" s="707"/>
      <c r="NMO34" s="707"/>
      <c r="NMP34" s="707"/>
      <c r="NMQ34" s="707"/>
      <c r="NMR34" s="707"/>
      <c r="NMS34" s="707"/>
      <c r="NMT34" s="707"/>
      <c r="NMU34" s="707"/>
      <c r="NMV34" s="707"/>
      <c r="NMW34" s="707"/>
      <c r="NMX34" s="707"/>
      <c r="NMY34" s="707"/>
      <c r="NMZ34" s="707"/>
      <c r="NNA34" s="707"/>
      <c r="NNB34" s="707"/>
      <c r="NNC34" s="707"/>
      <c r="NND34" s="707"/>
      <c r="NNE34" s="707"/>
      <c r="NNF34" s="707"/>
      <c r="NNG34" s="707"/>
      <c r="NNH34" s="707"/>
      <c r="NNI34" s="707"/>
      <c r="NNJ34" s="707"/>
      <c r="NNK34" s="707"/>
      <c r="NNL34" s="707"/>
      <c r="NNM34" s="707"/>
      <c r="NNN34" s="707"/>
      <c r="NNO34" s="707"/>
      <c r="NNP34" s="707"/>
      <c r="NNQ34" s="707"/>
      <c r="NNR34" s="707"/>
      <c r="NNS34" s="707"/>
      <c r="NNT34" s="707"/>
      <c r="NNU34" s="707"/>
      <c r="NNV34" s="707"/>
      <c r="NNW34" s="707"/>
      <c r="NNX34" s="707"/>
      <c r="NNY34" s="707"/>
      <c r="NNZ34" s="707"/>
      <c r="NOA34" s="707"/>
      <c r="NOB34" s="707"/>
      <c r="NOC34" s="707"/>
      <c r="NOD34" s="707"/>
      <c r="NOE34" s="707"/>
      <c r="NOF34" s="707"/>
      <c r="NOG34" s="707"/>
      <c r="NOH34" s="707"/>
      <c r="NOI34" s="707"/>
      <c r="NOJ34" s="707"/>
      <c r="NOK34" s="707"/>
      <c r="NOL34" s="707"/>
      <c r="NOM34" s="707"/>
      <c r="NON34" s="707"/>
      <c r="NOO34" s="707"/>
      <c r="NOP34" s="707"/>
      <c r="NOQ34" s="707"/>
      <c r="NOR34" s="707"/>
      <c r="NOS34" s="707"/>
      <c r="NOT34" s="707"/>
      <c r="NOU34" s="707"/>
      <c r="NOV34" s="707"/>
      <c r="NOW34" s="707"/>
      <c r="NOX34" s="707"/>
      <c r="NOY34" s="707"/>
      <c r="NOZ34" s="707"/>
      <c r="NPA34" s="707"/>
      <c r="NPB34" s="707"/>
      <c r="NPC34" s="707"/>
      <c r="NPD34" s="707"/>
      <c r="NPE34" s="707"/>
      <c r="NPF34" s="707"/>
      <c r="NPG34" s="707"/>
      <c r="NPH34" s="707"/>
      <c r="NPI34" s="707"/>
      <c r="NPJ34" s="707"/>
      <c r="NPK34" s="707"/>
      <c r="NPL34" s="707"/>
      <c r="NPM34" s="707"/>
      <c r="NPN34" s="707"/>
      <c r="NPO34" s="707"/>
      <c r="NPP34" s="707"/>
      <c r="NPQ34" s="707"/>
      <c r="NPR34" s="707"/>
      <c r="NPS34" s="707"/>
      <c r="NPT34" s="707"/>
      <c r="NPU34" s="707"/>
      <c r="NPV34" s="707"/>
      <c r="NPW34" s="707"/>
      <c r="NPX34" s="707"/>
      <c r="NPY34" s="707"/>
      <c r="NPZ34" s="707"/>
      <c r="NQA34" s="707"/>
      <c r="NQB34" s="707"/>
      <c r="NQC34" s="707"/>
      <c r="NQD34" s="707"/>
      <c r="NQE34" s="707"/>
      <c r="NQF34" s="707"/>
      <c r="NQG34" s="707"/>
      <c r="NQH34" s="707"/>
      <c r="NQI34" s="707"/>
      <c r="NQJ34" s="707"/>
      <c r="NQK34" s="707"/>
      <c r="NQL34" s="707"/>
      <c r="NQM34" s="707"/>
      <c r="NQN34" s="707"/>
      <c r="NQO34" s="707"/>
      <c r="NQP34" s="707"/>
      <c r="NQQ34" s="707"/>
      <c r="NQR34" s="707"/>
      <c r="NQS34" s="707"/>
      <c r="NQT34" s="707"/>
      <c r="NQU34" s="707"/>
      <c r="NQV34" s="707"/>
      <c r="NQW34" s="707"/>
      <c r="NQX34" s="707"/>
      <c r="NQY34" s="707"/>
      <c r="NQZ34" s="707"/>
      <c r="NRA34" s="707"/>
      <c r="NRB34" s="707"/>
      <c r="NRC34" s="707"/>
      <c r="NRD34" s="707"/>
      <c r="NRE34" s="707"/>
      <c r="NRF34" s="707"/>
      <c r="NRG34" s="707"/>
      <c r="NRH34" s="707"/>
      <c r="NRI34" s="707"/>
      <c r="NRJ34" s="707"/>
      <c r="NRK34" s="707"/>
      <c r="NRL34" s="707"/>
      <c r="NRM34" s="707"/>
      <c r="NRN34" s="707"/>
      <c r="NRO34" s="707"/>
      <c r="NRP34" s="707"/>
      <c r="NRQ34" s="707"/>
      <c r="NRR34" s="707"/>
      <c r="NRS34" s="707"/>
      <c r="NRT34" s="707"/>
      <c r="NRU34" s="707"/>
      <c r="NRV34" s="707"/>
      <c r="NRW34" s="707"/>
      <c r="NRX34" s="707"/>
      <c r="NRY34" s="707"/>
      <c r="NRZ34" s="707"/>
      <c r="NSA34" s="707"/>
      <c r="NSB34" s="707"/>
      <c r="NSC34" s="707"/>
      <c r="NSD34" s="707"/>
      <c r="NSE34" s="707"/>
      <c r="NSF34" s="707"/>
      <c r="NSG34" s="707"/>
      <c r="NSH34" s="707"/>
      <c r="NSI34" s="707"/>
      <c r="NSJ34" s="707"/>
      <c r="NSK34" s="707"/>
      <c r="NSL34" s="707"/>
      <c r="NSM34" s="707"/>
      <c r="NSN34" s="707"/>
      <c r="NSO34" s="707"/>
      <c r="NSP34" s="707"/>
      <c r="NSQ34" s="707"/>
      <c r="NSR34" s="707"/>
      <c r="NSS34" s="707"/>
      <c r="NST34" s="707"/>
      <c r="NSU34" s="707"/>
      <c r="NSV34" s="707"/>
      <c r="NSW34" s="707"/>
      <c r="NSX34" s="707"/>
      <c r="NSY34" s="707"/>
      <c r="NSZ34" s="707"/>
      <c r="NTA34" s="707"/>
      <c r="NTB34" s="707"/>
      <c r="NTC34" s="707"/>
      <c r="NTD34" s="707"/>
      <c r="NTE34" s="707"/>
      <c r="NTF34" s="707"/>
      <c r="NTG34" s="707"/>
      <c r="NTH34" s="707"/>
      <c r="NTI34" s="707"/>
      <c r="NTJ34" s="707"/>
      <c r="NTK34" s="707"/>
      <c r="NTL34" s="707"/>
      <c r="NTM34" s="707"/>
      <c r="NTN34" s="707"/>
      <c r="NTO34" s="707"/>
      <c r="NTP34" s="707"/>
      <c r="NTQ34" s="707"/>
      <c r="NTR34" s="707"/>
      <c r="NTS34" s="707"/>
      <c r="NTT34" s="707"/>
      <c r="NTU34" s="707"/>
      <c r="NTV34" s="707"/>
      <c r="NTW34" s="707"/>
      <c r="NTX34" s="707"/>
      <c r="NTY34" s="707"/>
      <c r="NTZ34" s="707"/>
      <c r="NUA34" s="707"/>
      <c r="NUB34" s="707"/>
      <c r="NUC34" s="707"/>
      <c r="NUD34" s="707"/>
      <c r="NUE34" s="707"/>
      <c r="NUF34" s="707"/>
      <c r="NUG34" s="707"/>
      <c r="NUH34" s="707"/>
      <c r="NUI34" s="707"/>
      <c r="NUJ34" s="707"/>
      <c r="NUK34" s="707"/>
      <c r="NUL34" s="707"/>
      <c r="NUM34" s="707"/>
      <c r="NUN34" s="707"/>
      <c r="NUO34" s="707"/>
      <c r="NUP34" s="707"/>
      <c r="NUQ34" s="707"/>
      <c r="NUR34" s="707"/>
      <c r="NUS34" s="707"/>
      <c r="NUT34" s="707"/>
      <c r="NUU34" s="707"/>
      <c r="NUV34" s="707"/>
      <c r="NUW34" s="707"/>
      <c r="NUX34" s="707"/>
      <c r="NUY34" s="707"/>
      <c r="NUZ34" s="707"/>
      <c r="NVA34" s="707"/>
      <c r="NVB34" s="707"/>
      <c r="NVC34" s="707"/>
      <c r="NVD34" s="707"/>
      <c r="NVE34" s="707"/>
      <c r="NVF34" s="707"/>
      <c r="NVG34" s="707"/>
      <c r="NVH34" s="707"/>
      <c r="NVI34" s="707"/>
      <c r="NVJ34" s="707"/>
      <c r="NVK34" s="707"/>
      <c r="NVL34" s="707"/>
      <c r="NVM34" s="707"/>
      <c r="NVN34" s="707"/>
      <c r="NVO34" s="707"/>
      <c r="NVP34" s="707"/>
      <c r="NVQ34" s="707"/>
      <c r="NVR34" s="707"/>
      <c r="NVS34" s="707"/>
      <c r="NVT34" s="707"/>
      <c r="NVU34" s="707"/>
      <c r="NVV34" s="707"/>
      <c r="NVW34" s="707"/>
      <c r="NVX34" s="707"/>
      <c r="NVY34" s="707"/>
      <c r="NVZ34" s="707"/>
      <c r="NWA34" s="707"/>
      <c r="NWB34" s="707"/>
      <c r="NWC34" s="707"/>
      <c r="NWD34" s="707"/>
      <c r="NWE34" s="707"/>
      <c r="NWF34" s="707"/>
      <c r="NWG34" s="707"/>
      <c r="NWH34" s="707"/>
      <c r="NWI34" s="707"/>
      <c r="NWJ34" s="707"/>
      <c r="NWK34" s="707"/>
      <c r="NWL34" s="707"/>
      <c r="NWM34" s="707"/>
      <c r="NWN34" s="707"/>
      <c r="NWO34" s="707"/>
      <c r="NWP34" s="707"/>
      <c r="NWQ34" s="707"/>
      <c r="NWR34" s="707"/>
      <c r="NWS34" s="707"/>
      <c r="NWT34" s="707"/>
      <c r="NWU34" s="707"/>
      <c r="NWV34" s="707"/>
      <c r="NWW34" s="707"/>
      <c r="NWX34" s="707"/>
      <c r="NWY34" s="707"/>
      <c r="NWZ34" s="707"/>
      <c r="NXA34" s="707"/>
      <c r="NXB34" s="707"/>
      <c r="NXC34" s="707"/>
      <c r="NXD34" s="707"/>
      <c r="NXE34" s="707"/>
      <c r="NXF34" s="707"/>
      <c r="NXG34" s="707"/>
      <c r="NXH34" s="707"/>
      <c r="NXI34" s="707"/>
      <c r="NXJ34" s="707"/>
      <c r="NXK34" s="707"/>
      <c r="NXL34" s="707"/>
      <c r="NXM34" s="707"/>
      <c r="NXN34" s="707"/>
      <c r="NXO34" s="707"/>
      <c r="NXP34" s="707"/>
      <c r="NXQ34" s="707"/>
      <c r="NXR34" s="707"/>
      <c r="NXS34" s="707"/>
      <c r="NXT34" s="707"/>
      <c r="NXU34" s="707"/>
      <c r="NXV34" s="707"/>
      <c r="NXW34" s="707"/>
      <c r="NXX34" s="707"/>
      <c r="NXY34" s="707"/>
      <c r="NXZ34" s="707"/>
      <c r="NYA34" s="707"/>
      <c r="NYB34" s="707"/>
      <c r="NYC34" s="707"/>
      <c r="NYD34" s="707"/>
      <c r="NYE34" s="707"/>
      <c r="NYF34" s="707"/>
      <c r="NYG34" s="707"/>
      <c r="NYH34" s="707"/>
      <c r="NYI34" s="707"/>
      <c r="NYJ34" s="707"/>
      <c r="NYK34" s="707"/>
      <c r="NYL34" s="707"/>
      <c r="NYM34" s="707"/>
      <c r="NYN34" s="707"/>
      <c r="NYO34" s="707"/>
      <c r="NYP34" s="707"/>
      <c r="NYQ34" s="707"/>
      <c r="NYR34" s="707"/>
      <c r="NYS34" s="707"/>
      <c r="NYT34" s="707"/>
      <c r="NYU34" s="707"/>
      <c r="NYV34" s="707"/>
      <c r="NYW34" s="707"/>
      <c r="NYX34" s="707"/>
      <c r="NYY34" s="707"/>
      <c r="NYZ34" s="707"/>
      <c r="NZA34" s="707"/>
      <c r="NZB34" s="707"/>
      <c r="NZC34" s="707"/>
      <c r="NZD34" s="707"/>
      <c r="NZE34" s="707"/>
      <c r="NZF34" s="707"/>
      <c r="NZG34" s="707"/>
      <c r="NZH34" s="707"/>
      <c r="NZI34" s="707"/>
      <c r="NZJ34" s="707"/>
      <c r="NZK34" s="707"/>
      <c r="NZL34" s="707"/>
      <c r="NZM34" s="707"/>
      <c r="NZN34" s="707"/>
      <c r="NZO34" s="707"/>
      <c r="NZP34" s="707"/>
      <c r="NZQ34" s="707"/>
      <c r="NZR34" s="707"/>
      <c r="NZS34" s="707"/>
      <c r="NZT34" s="707"/>
      <c r="NZU34" s="707"/>
      <c r="NZV34" s="707"/>
      <c r="NZW34" s="707"/>
      <c r="NZX34" s="707"/>
      <c r="NZY34" s="707"/>
      <c r="NZZ34" s="707"/>
      <c r="OAA34" s="707"/>
      <c r="OAB34" s="707"/>
      <c r="OAC34" s="707"/>
      <c r="OAD34" s="707"/>
      <c r="OAE34" s="707"/>
      <c r="OAF34" s="707"/>
      <c r="OAG34" s="707"/>
      <c r="OAH34" s="707"/>
      <c r="OAI34" s="707"/>
      <c r="OAJ34" s="707"/>
      <c r="OAK34" s="707"/>
      <c r="OAL34" s="707"/>
      <c r="OAM34" s="707"/>
      <c r="OAN34" s="707"/>
      <c r="OAO34" s="707"/>
      <c r="OAP34" s="707"/>
      <c r="OAQ34" s="707"/>
      <c r="OAR34" s="707"/>
      <c r="OAS34" s="707"/>
      <c r="OAT34" s="707"/>
      <c r="OAU34" s="707"/>
      <c r="OAV34" s="707"/>
      <c r="OAW34" s="707"/>
      <c r="OAX34" s="707"/>
      <c r="OAY34" s="707"/>
      <c r="OAZ34" s="707"/>
      <c r="OBA34" s="707"/>
      <c r="OBB34" s="707"/>
      <c r="OBC34" s="707"/>
      <c r="OBD34" s="707"/>
      <c r="OBE34" s="707"/>
      <c r="OBF34" s="707"/>
      <c r="OBG34" s="707"/>
      <c r="OBH34" s="707"/>
      <c r="OBI34" s="707"/>
      <c r="OBJ34" s="707"/>
      <c r="OBK34" s="707"/>
      <c r="OBL34" s="707"/>
      <c r="OBM34" s="707"/>
      <c r="OBN34" s="707"/>
      <c r="OBO34" s="707"/>
      <c r="OBP34" s="707"/>
      <c r="OBQ34" s="707"/>
      <c r="OBR34" s="707"/>
      <c r="OBS34" s="707"/>
      <c r="OBT34" s="707"/>
      <c r="OBU34" s="707"/>
      <c r="OBV34" s="707"/>
      <c r="OBW34" s="707"/>
      <c r="OBX34" s="707"/>
      <c r="OBY34" s="707"/>
      <c r="OBZ34" s="707"/>
      <c r="OCA34" s="707"/>
      <c r="OCB34" s="707"/>
      <c r="OCC34" s="707"/>
      <c r="OCD34" s="707"/>
      <c r="OCE34" s="707"/>
      <c r="OCF34" s="707"/>
      <c r="OCG34" s="707"/>
      <c r="OCH34" s="707"/>
      <c r="OCI34" s="707"/>
      <c r="OCJ34" s="707"/>
      <c r="OCK34" s="707"/>
      <c r="OCL34" s="707"/>
      <c r="OCM34" s="707"/>
      <c r="OCN34" s="707"/>
      <c r="OCO34" s="707"/>
      <c r="OCP34" s="707"/>
      <c r="OCQ34" s="707"/>
      <c r="OCR34" s="707"/>
      <c r="OCS34" s="707"/>
      <c r="OCT34" s="707"/>
      <c r="OCU34" s="707"/>
      <c r="OCV34" s="707"/>
      <c r="OCW34" s="707"/>
      <c r="OCX34" s="707"/>
      <c r="OCY34" s="707"/>
      <c r="OCZ34" s="707"/>
      <c r="ODA34" s="707"/>
      <c r="ODB34" s="707"/>
      <c r="ODC34" s="707"/>
      <c r="ODD34" s="707"/>
      <c r="ODE34" s="707"/>
      <c r="ODF34" s="707"/>
      <c r="ODG34" s="707"/>
      <c r="ODH34" s="707"/>
      <c r="ODI34" s="707"/>
      <c r="ODJ34" s="707"/>
      <c r="ODK34" s="707"/>
      <c r="ODL34" s="707"/>
      <c r="ODM34" s="707"/>
      <c r="ODN34" s="707"/>
      <c r="ODO34" s="707"/>
      <c r="ODP34" s="707"/>
      <c r="ODQ34" s="707"/>
      <c r="ODR34" s="707"/>
      <c r="ODS34" s="707"/>
      <c r="ODT34" s="707"/>
      <c r="ODU34" s="707"/>
      <c r="ODV34" s="707"/>
      <c r="ODW34" s="707"/>
      <c r="ODX34" s="707"/>
      <c r="ODY34" s="707"/>
      <c r="ODZ34" s="707"/>
      <c r="OEA34" s="707"/>
      <c r="OEB34" s="707"/>
      <c r="OEC34" s="707"/>
      <c r="OED34" s="707"/>
      <c r="OEE34" s="707"/>
      <c r="OEF34" s="707"/>
      <c r="OEG34" s="707"/>
      <c r="OEH34" s="707"/>
      <c r="OEI34" s="707"/>
      <c r="OEJ34" s="707"/>
      <c r="OEK34" s="707"/>
      <c r="OEL34" s="707"/>
      <c r="OEM34" s="707"/>
      <c r="OEN34" s="707"/>
      <c r="OEO34" s="707"/>
      <c r="OEP34" s="707"/>
      <c r="OEQ34" s="707"/>
      <c r="OER34" s="707"/>
      <c r="OES34" s="707"/>
      <c r="OET34" s="707"/>
      <c r="OEU34" s="707"/>
      <c r="OEV34" s="707"/>
      <c r="OEW34" s="707"/>
      <c r="OEX34" s="707"/>
      <c r="OEY34" s="707"/>
      <c r="OEZ34" s="707"/>
      <c r="OFA34" s="707"/>
      <c r="OFB34" s="707"/>
      <c r="OFC34" s="707"/>
      <c r="OFD34" s="707"/>
      <c r="OFE34" s="707"/>
      <c r="OFF34" s="707"/>
      <c r="OFG34" s="707"/>
      <c r="OFH34" s="707"/>
      <c r="OFI34" s="707"/>
      <c r="OFJ34" s="707"/>
      <c r="OFK34" s="707"/>
      <c r="OFL34" s="707"/>
      <c r="OFM34" s="707"/>
      <c r="OFN34" s="707"/>
      <c r="OFO34" s="707"/>
      <c r="OFP34" s="707"/>
      <c r="OFQ34" s="707"/>
      <c r="OFR34" s="707"/>
      <c r="OFS34" s="707"/>
      <c r="OFT34" s="707"/>
      <c r="OFU34" s="707"/>
      <c r="OFV34" s="707"/>
      <c r="OFW34" s="707"/>
      <c r="OFX34" s="707"/>
      <c r="OFY34" s="707"/>
      <c r="OFZ34" s="707"/>
      <c r="OGA34" s="707"/>
      <c r="OGB34" s="707"/>
      <c r="OGC34" s="707"/>
      <c r="OGD34" s="707"/>
      <c r="OGE34" s="707"/>
      <c r="OGF34" s="707"/>
      <c r="OGG34" s="707"/>
      <c r="OGH34" s="707"/>
      <c r="OGI34" s="707"/>
      <c r="OGJ34" s="707"/>
      <c r="OGK34" s="707"/>
      <c r="OGL34" s="707"/>
      <c r="OGM34" s="707"/>
      <c r="OGN34" s="707"/>
      <c r="OGO34" s="707"/>
      <c r="OGP34" s="707"/>
      <c r="OGQ34" s="707"/>
      <c r="OGR34" s="707"/>
      <c r="OGS34" s="707"/>
      <c r="OGT34" s="707"/>
      <c r="OGU34" s="707"/>
      <c r="OGV34" s="707"/>
      <c r="OGW34" s="707"/>
      <c r="OGX34" s="707"/>
      <c r="OGY34" s="707"/>
      <c r="OGZ34" s="707"/>
      <c r="OHA34" s="707"/>
      <c r="OHB34" s="707"/>
      <c r="OHC34" s="707"/>
      <c r="OHD34" s="707"/>
      <c r="OHE34" s="707"/>
      <c r="OHF34" s="707"/>
      <c r="OHG34" s="707"/>
      <c r="OHH34" s="707"/>
      <c r="OHI34" s="707"/>
      <c r="OHJ34" s="707"/>
      <c r="OHK34" s="707"/>
      <c r="OHL34" s="707"/>
      <c r="OHM34" s="707"/>
      <c r="OHN34" s="707"/>
      <c r="OHO34" s="707"/>
      <c r="OHP34" s="707"/>
      <c r="OHQ34" s="707"/>
      <c r="OHR34" s="707"/>
      <c r="OHS34" s="707"/>
      <c r="OHT34" s="707"/>
      <c r="OHU34" s="707"/>
      <c r="OHV34" s="707"/>
      <c r="OHW34" s="707"/>
      <c r="OHX34" s="707"/>
      <c r="OHY34" s="707"/>
      <c r="OHZ34" s="707"/>
      <c r="OIA34" s="707"/>
      <c r="OIB34" s="707"/>
      <c r="OIC34" s="707"/>
      <c r="OID34" s="707"/>
      <c r="OIE34" s="707"/>
      <c r="OIF34" s="707"/>
      <c r="OIG34" s="707"/>
      <c r="OIH34" s="707"/>
      <c r="OII34" s="707"/>
      <c r="OIJ34" s="707"/>
      <c r="OIK34" s="707"/>
      <c r="OIL34" s="707"/>
      <c r="OIM34" s="707"/>
      <c r="OIN34" s="707"/>
      <c r="OIO34" s="707"/>
      <c r="OIP34" s="707"/>
      <c r="OIQ34" s="707"/>
      <c r="OIR34" s="707"/>
      <c r="OIS34" s="707"/>
      <c r="OIT34" s="707"/>
      <c r="OIU34" s="707"/>
      <c r="OIV34" s="707"/>
      <c r="OIW34" s="707"/>
      <c r="OIX34" s="707"/>
      <c r="OIY34" s="707"/>
      <c r="OIZ34" s="707"/>
      <c r="OJA34" s="707"/>
      <c r="OJB34" s="707"/>
      <c r="OJC34" s="707"/>
      <c r="OJD34" s="707"/>
      <c r="OJE34" s="707"/>
      <c r="OJF34" s="707"/>
      <c r="OJG34" s="707"/>
      <c r="OJH34" s="707"/>
      <c r="OJI34" s="707"/>
      <c r="OJJ34" s="707"/>
      <c r="OJK34" s="707"/>
      <c r="OJL34" s="707"/>
      <c r="OJM34" s="707"/>
      <c r="OJN34" s="707"/>
      <c r="OJO34" s="707"/>
      <c r="OJP34" s="707"/>
      <c r="OJQ34" s="707"/>
      <c r="OJR34" s="707"/>
      <c r="OJS34" s="707"/>
      <c r="OJT34" s="707"/>
      <c r="OJU34" s="707"/>
      <c r="OJV34" s="707"/>
      <c r="OJW34" s="707"/>
      <c r="OJX34" s="707"/>
      <c r="OJY34" s="707"/>
      <c r="OJZ34" s="707"/>
      <c r="OKA34" s="707"/>
      <c r="OKB34" s="707"/>
      <c r="OKC34" s="707"/>
      <c r="OKD34" s="707"/>
      <c r="OKE34" s="707"/>
      <c r="OKF34" s="707"/>
      <c r="OKG34" s="707"/>
      <c r="OKH34" s="707"/>
      <c r="OKI34" s="707"/>
      <c r="OKJ34" s="707"/>
      <c r="OKK34" s="707"/>
      <c r="OKL34" s="707"/>
      <c r="OKM34" s="707"/>
      <c r="OKN34" s="707"/>
      <c r="OKO34" s="707"/>
      <c r="OKP34" s="707"/>
      <c r="OKQ34" s="707"/>
      <c r="OKR34" s="707"/>
      <c r="OKS34" s="707"/>
      <c r="OKT34" s="707"/>
      <c r="OKU34" s="707"/>
      <c r="OKV34" s="707"/>
      <c r="OKW34" s="707"/>
      <c r="OKX34" s="707"/>
      <c r="OKY34" s="707"/>
      <c r="OKZ34" s="707"/>
      <c r="OLA34" s="707"/>
      <c r="OLB34" s="707"/>
      <c r="OLC34" s="707"/>
      <c r="OLD34" s="707"/>
      <c r="OLE34" s="707"/>
      <c r="OLF34" s="707"/>
      <c r="OLG34" s="707"/>
      <c r="OLH34" s="707"/>
      <c r="OLI34" s="707"/>
      <c r="OLJ34" s="707"/>
      <c r="OLK34" s="707"/>
      <c r="OLL34" s="707"/>
      <c r="OLM34" s="707"/>
      <c r="OLN34" s="707"/>
      <c r="OLO34" s="707"/>
      <c r="OLP34" s="707"/>
      <c r="OLQ34" s="707"/>
      <c r="OLR34" s="707"/>
      <c r="OLS34" s="707"/>
      <c r="OLT34" s="707"/>
      <c r="OLU34" s="707"/>
      <c r="OLV34" s="707"/>
      <c r="OLW34" s="707"/>
      <c r="OLX34" s="707"/>
      <c r="OLY34" s="707"/>
      <c r="OLZ34" s="707"/>
      <c r="OMA34" s="707"/>
      <c r="OMB34" s="707"/>
      <c r="OMC34" s="707"/>
      <c r="OMD34" s="707"/>
      <c r="OME34" s="707"/>
      <c r="OMF34" s="707"/>
      <c r="OMG34" s="707"/>
      <c r="OMH34" s="707"/>
      <c r="OMI34" s="707"/>
      <c r="OMJ34" s="707"/>
      <c r="OMK34" s="707"/>
      <c r="OML34" s="707"/>
      <c r="OMM34" s="707"/>
      <c r="OMN34" s="707"/>
      <c r="OMO34" s="707"/>
      <c r="OMP34" s="707"/>
      <c r="OMQ34" s="707"/>
      <c r="OMR34" s="707"/>
      <c r="OMS34" s="707"/>
      <c r="OMT34" s="707"/>
      <c r="OMU34" s="707"/>
      <c r="OMV34" s="707"/>
      <c r="OMW34" s="707"/>
      <c r="OMX34" s="707"/>
      <c r="OMY34" s="707"/>
      <c r="OMZ34" s="707"/>
      <c r="ONA34" s="707"/>
      <c r="ONB34" s="707"/>
      <c r="ONC34" s="707"/>
      <c r="OND34" s="707"/>
      <c r="ONE34" s="707"/>
      <c r="ONF34" s="707"/>
      <c r="ONG34" s="707"/>
      <c r="ONH34" s="707"/>
      <c r="ONI34" s="707"/>
      <c r="ONJ34" s="707"/>
      <c r="ONK34" s="707"/>
      <c r="ONL34" s="707"/>
      <c r="ONM34" s="707"/>
      <c r="ONN34" s="707"/>
      <c r="ONO34" s="707"/>
      <c r="ONP34" s="707"/>
      <c r="ONQ34" s="707"/>
      <c r="ONR34" s="707"/>
      <c r="ONS34" s="707"/>
      <c r="ONT34" s="707"/>
      <c r="ONU34" s="707"/>
      <c r="ONV34" s="707"/>
      <c r="ONW34" s="707"/>
      <c r="ONX34" s="707"/>
      <c r="ONY34" s="707"/>
      <c r="ONZ34" s="707"/>
      <c r="OOA34" s="707"/>
      <c r="OOB34" s="707"/>
      <c r="OOC34" s="707"/>
      <c r="OOD34" s="707"/>
      <c r="OOE34" s="707"/>
      <c r="OOF34" s="707"/>
      <c r="OOG34" s="707"/>
      <c r="OOH34" s="707"/>
      <c r="OOI34" s="707"/>
      <c r="OOJ34" s="707"/>
      <c r="OOK34" s="707"/>
      <c r="OOL34" s="707"/>
      <c r="OOM34" s="707"/>
      <c r="OON34" s="707"/>
      <c r="OOO34" s="707"/>
      <c r="OOP34" s="707"/>
      <c r="OOQ34" s="707"/>
      <c r="OOR34" s="707"/>
      <c r="OOS34" s="707"/>
      <c r="OOT34" s="707"/>
      <c r="OOU34" s="707"/>
      <c r="OOV34" s="707"/>
      <c r="OOW34" s="707"/>
      <c r="OOX34" s="707"/>
      <c r="OOY34" s="707"/>
      <c r="OOZ34" s="707"/>
      <c r="OPA34" s="707"/>
      <c r="OPB34" s="707"/>
      <c r="OPC34" s="707"/>
      <c r="OPD34" s="707"/>
      <c r="OPE34" s="707"/>
      <c r="OPF34" s="707"/>
      <c r="OPG34" s="707"/>
      <c r="OPH34" s="707"/>
      <c r="OPI34" s="707"/>
      <c r="OPJ34" s="707"/>
      <c r="OPK34" s="707"/>
      <c r="OPL34" s="707"/>
      <c r="OPM34" s="707"/>
      <c r="OPN34" s="707"/>
      <c r="OPO34" s="707"/>
      <c r="OPP34" s="707"/>
      <c r="OPQ34" s="707"/>
      <c r="OPR34" s="707"/>
      <c r="OPS34" s="707"/>
      <c r="OPT34" s="707"/>
      <c r="OPU34" s="707"/>
      <c r="OPV34" s="707"/>
      <c r="OPW34" s="707"/>
      <c r="OPX34" s="707"/>
      <c r="OPY34" s="707"/>
      <c r="OPZ34" s="707"/>
      <c r="OQA34" s="707"/>
      <c r="OQB34" s="707"/>
      <c r="OQC34" s="707"/>
      <c r="OQD34" s="707"/>
      <c r="OQE34" s="707"/>
      <c r="OQF34" s="707"/>
      <c r="OQG34" s="707"/>
      <c r="OQH34" s="707"/>
      <c r="OQI34" s="707"/>
      <c r="OQJ34" s="707"/>
      <c r="OQK34" s="707"/>
      <c r="OQL34" s="707"/>
      <c r="OQM34" s="707"/>
      <c r="OQN34" s="707"/>
      <c r="OQO34" s="707"/>
      <c r="OQP34" s="707"/>
      <c r="OQQ34" s="707"/>
      <c r="OQR34" s="707"/>
      <c r="OQS34" s="707"/>
      <c r="OQT34" s="707"/>
      <c r="OQU34" s="707"/>
      <c r="OQV34" s="707"/>
      <c r="OQW34" s="707"/>
      <c r="OQX34" s="707"/>
      <c r="OQY34" s="707"/>
      <c r="OQZ34" s="707"/>
      <c r="ORA34" s="707"/>
      <c r="ORB34" s="707"/>
      <c r="ORC34" s="707"/>
      <c r="ORD34" s="707"/>
      <c r="ORE34" s="707"/>
      <c r="ORF34" s="707"/>
      <c r="ORG34" s="707"/>
      <c r="ORH34" s="707"/>
      <c r="ORI34" s="707"/>
      <c r="ORJ34" s="707"/>
      <c r="ORK34" s="707"/>
      <c r="ORL34" s="707"/>
      <c r="ORM34" s="707"/>
      <c r="ORN34" s="707"/>
      <c r="ORO34" s="707"/>
      <c r="ORP34" s="707"/>
      <c r="ORQ34" s="707"/>
      <c r="ORR34" s="707"/>
      <c r="ORS34" s="707"/>
      <c r="ORT34" s="707"/>
      <c r="ORU34" s="707"/>
      <c r="ORV34" s="707"/>
      <c r="ORW34" s="707"/>
      <c r="ORX34" s="707"/>
      <c r="ORY34" s="707"/>
      <c r="ORZ34" s="707"/>
      <c r="OSA34" s="707"/>
      <c r="OSB34" s="707"/>
      <c r="OSC34" s="707"/>
      <c r="OSD34" s="707"/>
      <c r="OSE34" s="707"/>
      <c r="OSF34" s="707"/>
      <c r="OSG34" s="707"/>
      <c r="OSH34" s="707"/>
      <c r="OSI34" s="707"/>
      <c r="OSJ34" s="707"/>
      <c r="OSK34" s="707"/>
      <c r="OSL34" s="707"/>
      <c r="OSM34" s="707"/>
      <c r="OSN34" s="707"/>
      <c r="OSO34" s="707"/>
      <c r="OSP34" s="707"/>
      <c r="OSQ34" s="707"/>
      <c r="OSR34" s="707"/>
      <c r="OSS34" s="707"/>
      <c r="OST34" s="707"/>
      <c r="OSU34" s="707"/>
      <c r="OSV34" s="707"/>
      <c r="OSW34" s="707"/>
      <c r="OSX34" s="707"/>
      <c r="OSY34" s="707"/>
      <c r="OSZ34" s="707"/>
      <c r="OTA34" s="707"/>
      <c r="OTB34" s="707"/>
      <c r="OTC34" s="707"/>
      <c r="OTD34" s="707"/>
      <c r="OTE34" s="707"/>
      <c r="OTF34" s="707"/>
      <c r="OTG34" s="707"/>
      <c r="OTH34" s="707"/>
      <c r="OTI34" s="707"/>
      <c r="OTJ34" s="707"/>
      <c r="OTK34" s="707"/>
      <c r="OTL34" s="707"/>
      <c r="OTM34" s="707"/>
      <c r="OTN34" s="707"/>
      <c r="OTO34" s="707"/>
      <c r="OTP34" s="707"/>
      <c r="OTQ34" s="707"/>
      <c r="OTR34" s="707"/>
      <c r="OTS34" s="707"/>
      <c r="OTT34" s="707"/>
      <c r="OTU34" s="707"/>
      <c r="OTV34" s="707"/>
      <c r="OTW34" s="707"/>
      <c r="OTX34" s="707"/>
      <c r="OTY34" s="707"/>
      <c r="OTZ34" s="707"/>
      <c r="OUA34" s="707"/>
      <c r="OUB34" s="707"/>
      <c r="OUC34" s="707"/>
      <c r="OUD34" s="707"/>
      <c r="OUE34" s="707"/>
      <c r="OUF34" s="707"/>
      <c r="OUG34" s="707"/>
      <c r="OUH34" s="707"/>
      <c r="OUI34" s="707"/>
      <c r="OUJ34" s="707"/>
      <c r="OUK34" s="707"/>
      <c r="OUL34" s="707"/>
      <c r="OUM34" s="707"/>
      <c r="OUN34" s="707"/>
      <c r="OUO34" s="707"/>
      <c r="OUP34" s="707"/>
      <c r="OUQ34" s="707"/>
      <c r="OUR34" s="707"/>
      <c r="OUS34" s="707"/>
      <c r="OUT34" s="707"/>
      <c r="OUU34" s="707"/>
      <c r="OUV34" s="707"/>
      <c r="OUW34" s="707"/>
      <c r="OUX34" s="707"/>
      <c r="OUY34" s="707"/>
      <c r="OUZ34" s="707"/>
      <c r="OVA34" s="707"/>
      <c r="OVB34" s="707"/>
      <c r="OVC34" s="707"/>
      <c r="OVD34" s="707"/>
      <c r="OVE34" s="707"/>
      <c r="OVF34" s="707"/>
      <c r="OVG34" s="707"/>
      <c r="OVH34" s="707"/>
      <c r="OVI34" s="707"/>
      <c r="OVJ34" s="707"/>
      <c r="OVK34" s="707"/>
      <c r="OVL34" s="707"/>
      <c r="OVM34" s="707"/>
      <c r="OVN34" s="707"/>
      <c r="OVO34" s="707"/>
      <c r="OVP34" s="707"/>
      <c r="OVQ34" s="707"/>
      <c r="OVR34" s="707"/>
      <c r="OVS34" s="707"/>
      <c r="OVT34" s="707"/>
      <c r="OVU34" s="707"/>
      <c r="OVV34" s="707"/>
      <c r="OVW34" s="707"/>
      <c r="OVX34" s="707"/>
      <c r="OVY34" s="707"/>
      <c r="OVZ34" s="707"/>
      <c r="OWA34" s="707"/>
      <c r="OWB34" s="707"/>
      <c r="OWC34" s="707"/>
      <c r="OWD34" s="707"/>
      <c r="OWE34" s="707"/>
      <c r="OWF34" s="707"/>
      <c r="OWG34" s="707"/>
      <c r="OWH34" s="707"/>
      <c r="OWI34" s="707"/>
      <c r="OWJ34" s="707"/>
      <c r="OWK34" s="707"/>
      <c r="OWL34" s="707"/>
      <c r="OWM34" s="707"/>
      <c r="OWN34" s="707"/>
      <c r="OWO34" s="707"/>
      <c r="OWP34" s="707"/>
      <c r="OWQ34" s="707"/>
      <c r="OWR34" s="707"/>
      <c r="OWS34" s="707"/>
      <c r="OWT34" s="707"/>
      <c r="OWU34" s="707"/>
      <c r="OWV34" s="707"/>
      <c r="OWW34" s="707"/>
      <c r="OWX34" s="707"/>
      <c r="OWY34" s="707"/>
      <c r="OWZ34" s="707"/>
      <c r="OXA34" s="707"/>
      <c r="OXB34" s="707"/>
      <c r="OXC34" s="707"/>
      <c r="OXD34" s="707"/>
      <c r="OXE34" s="707"/>
      <c r="OXF34" s="707"/>
      <c r="OXG34" s="707"/>
      <c r="OXH34" s="707"/>
      <c r="OXI34" s="707"/>
      <c r="OXJ34" s="707"/>
      <c r="OXK34" s="707"/>
      <c r="OXL34" s="707"/>
      <c r="OXM34" s="707"/>
      <c r="OXN34" s="707"/>
      <c r="OXO34" s="707"/>
      <c r="OXP34" s="707"/>
      <c r="OXQ34" s="707"/>
      <c r="OXR34" s="707"/>
      <c r="OXS34" s="707"/>
      <c r="OXT34" s="707"/>
      <c r="OXU34" s="707"/>
      <c r="OXV34" s="707"/>
      <c r="OXW34" s="707"/>
      <c r="OXX34" s="707"/>
      <c r="OXY34" s="707"/>
      <c r="OXZ34" s="707"/>
      <c r="OYA34" s="707"/>
      <c r="OYB34" s="707"/>
      <c r="OYC34" s="707"/>
      <c r="OYD34" s="707"/>
      <c r="OYE34" s="707"/>
      <c r="OYF34" s="707"/>
      <c r="OYG34" s="707"/>
      <c r="OYH34" s="707"/>
      <c r="OYI34" s="707"/>
      <c r="OYJ34" s="707"/>
      <c r="OYK34" s="707"/>
      <c r="OYL34" s="707"/>
      <c r="OYM34" s="707"/>
      <c r="OYN34" s="707"/>
      <c r="OYO34" s="707"/>
      <c r="OYP34" s="707"/>
      <c r="OYQ34" s="707"/>
      <c r="OYR34" s="707"/>
      <c r="OYS34" s="707"/>
      <c r="OYT34" s="707"/>
      <c r="OYU34" s="707"/>
      <c r="OYV34" s="707"/>
      <c r="OYW34" s="707"/>
      <c r="OYX34" s="707"/>
      <c r="OYY34" s="707"/>
      <c r="OYZ34" s="707"/>
      <c r="OZA34" s="707"/>
      <c r="OZB34" s="707"/>
      <c r="OZC34" s="707"/>
      <c r="OZD34" s="707"/>
      <c r="OZE34" s="707"/>
      <c r="OZF34" s="707"/>
      <c r="OZG34" s="707"/>
      <c r="OZH34" s="707"/>
      <c r="OZI34" s="707"/>
      <c r="OZJ34" s="707"/>
      <c r="OZK34" s="707"/>
      <c r="OZL34" s="707"/>
      <c r="OZM34" s="707"/>
      <c r="OZN34" s="707"/>
      <c r="OZO34" s="707"/>
      <c r="OZP34" s="707"/>
      <c r="OZQ34" s="707"/>
      <c r="OZR34" s="707"/>
      <c r="OZS34" s="707"/>
      <c r="OZT34" s="707"/>
      <c r="OZU34" s="707"/>
      <c r="OZV34" s="707"/>
      <c r="OZW34" s="707"/>
      <c r="OZX34" s="707"/>
      <c r="OZY34" s="707"/>
      <c r="OZZ34" s="707"/>
      <c r="PAA34" s="707"/>
      <c r="PAB34" s="707"/>
      <c r="PAC34" s="707"/>
      <c r="PAD34" s="707"/>
      <c r="PAE34" s="707"/>
      <c r="PAF34" s="707"/>
      <c r="PAG34" s="707"/>
      <c r="PAH34" s="707"/>
      <c r="PAI34" s="707"/>
      <c r="PAJ34" s="707"/>
      <c r="PAK34" s="707"/>
      <c r="PAL34" s="707"/>
      <c r="PAM34" s="707"/>
      <c r="PAN34" s="707"/>
      <c r="PAO34" s="707"/>
      <c r="PAP34" s="707"/>
      <c r="PAQ34" s="707"/>
      <c r="PAR34" s="707"/>
      <c r="PAS34" s="707"/>
      <c r="PAT34" s="707"/>
      <c r="PAU34" s="707"/>
      <c r="PAV34" s="707"/>
      <c r="PAW34" s="707"/>
      <c r="PAX34" s="707"/>
      <c r="PAY34" s="707"/>
      <c r="PAZ34" s="707"/>
      <c r="PBA34" s="707"/>
      <c r="PBB34" s="707"/>
      <c r="PBC34" s="707"/>
      <c r="PBD34" s="707"/>
      <c r="PBE34" s="707"/>
      <c r="PBF34" s="707"/>
      <c r="PBG34" s="707"/>
      <c r="PBH34" s="707"/>
      <c r="PBI34" s="707"/>
      <c r="PBJ34" s="707"/>
      <c r="PBK34" s="707"/>
      <c r="PBL34" s="707"/>
      <c r="PBM34" s="707"/>
      <c r="PBN34" s="707"/>
      <c r="PBO34" s="707"/>
      <c r="PBP34" s="707"/>
      <c r="PBQ34" s="707"/>
      <c r="PBR34" s="707"/>
      <c r="PBS34" s="707"/>
      <c r="PBT34" s="707"/>
      <c r="PBU34" s="707"/>
      <c r="PBV34" s="707"/>
      <c r="PBW34" s="707"/>
      <c r="PBX34" s="707"/>
      <c r="PBY34" s="707"/>
      <c r="PBZ34" s="707"/>
      <c r="PCA34" s="707"/>
      <c r="PCB34" s="707"/>
      <c r="PCC34" s="707"/>
      <c r="PCD34" s="707"/>
      <c r="PCE34" s="707"/>
      <c r="PCF34" s="707"/>
      <c r="PCG34" s="707"/>
      <c r="PCH34" s="707"/>
      <c r="PCI34" s="707"/>
      <c r="PCJ34" s="707"/>
      <c r="PCK34" s="707"/>
      <c r="PCL34" s="707"/>
      <c r="PCM34" s="707"/>
      <c r="PCN34" s="707"/>
      <c r="PCO34" s="707"/>
      <c r="PCP34" s="707"/>
      <c r="PCQ34" s="707"/>
      <c r="PCR34" s="707"/>
      <c r="PCS34" s="707"/>
      <c r="PCT34" s="707"/>
      <c r="PCU34" s="707"/>
      <c r="PCV34" s="707"/>
      <c r="PCW34" s="707"/>
      <c r="PCX34" s="707"/>
      <c r="PCY34" s="707"/>
      <c r="PCZ34" s="707"/>
      <c r="PDA34" s="707"/>
      <c r="PDB34" s="707"/>
      <c r="PDC34" s="707"/>
      <c r="PDD34" s="707"/>
      <c r="PDE34" s="707"/>
      <c r="PDF34" s="707"/>
      <c r="PDG34" s="707"/>
      <c r="PDH34" s="707"/>
      <c r="PDI34" s="707"/>
      <c r="PDJ34" s="707"/>
      <c r="PDK34" s="707"/>
      <c r="PDL34" s="707"/>
      <c r="PDM34" s="707"/>
      <c r="PDN34" s="707"/>
      <c r="PDO34" s="707"/>
      <c r="PDP34" s="707"/>
      <c r="PDQ34" s="707"/>
      <c r="PDR34" s="707"/>
      <c r="PDS34" s="707"/>
      <c r="PDT34" s="707"/>
      <c r="PDU34" s="707"/>
      <c r="PDV34" s="707"/>
      <c r="PDW34" s="707"/>
      <c r="PDX34" s="707"/>
      <c r="PDY34" s="707"/>
      <c r="PDZ34" s="707"/>
      <c r="PEA34" s="707"/>
      <c r="PEB34" s="707"/>
      <c r="PEC34" s="707"/>
      <c r="PED34" s="707"/>
      <c r="PEE34" s="707"/>
      <c r="PEF34" s="707"/>
      <c r="PEG34" s="707"/>
      <c r="PEH34" s="707"/>
      <c r="PEI34" s="707"/>
      <c r="PEJ34" s="707"/>
      <c r="PEK34" s="707"/>
      <c r="PEL34" s="707"/>
      <c r="PEM34" s="707"/>
      <c r="PEN34" s="707"/>
      <c r="PEO34" s="707"/>
      <c r="PEP34" s="707"/>
      <c r="PEQ34" s="707"/>
      <c r="PER34" s="707"/>
      <c r="PES34" s="707"/>
      <c r="PET34" s="707"/>
      <c r="PEU34" s="707"/>
      <c r="PEV34" s="707"/>
      <c r="PEW34" s="707"/>
      <c r="PEX34" s="707"/>
      <c r="PEY34" s="707"/>
      <c r="PEZ34" s="707"/>
      <c r="PFA34" s="707"/>
      <c r="PFB34" s="707"/>
      <c r="PFC34" s="707"/>
      <c r="PFD34" s="707"/>
      <c r="PFE34" s="707"/>
      <c r="PFF34" s="707"/>
      <c r="PFG34" s="707"/>
      <c r="PFH34" s="707"/>
      <c r="PFI34" s="707"/>
      <c r="PFJ34" s="707"/>
      <c r="PFK34" s="707"/>
      <c r="PFL34" s="707"/>
      <c r="PFM34" s="707"/>
      <c r="PFN34" s="707"/>
      <c r="PFO34" s="707"/>
      <c r="PFP34" s="707"/>
      <c r="PFQ34" s="707"/>
      <c r="PFR34" s="707"/>
      <c r="PFS34" s="707"/>
      <c r="PFT34" s="707"/>
      <c r="PFU34" s="707"/>
      <c r="PFV34" s="707"/>
      <c r="PFW34" s="707"/>
      <c r="PFX34" s="707"/>
      <c r="PFY34" s="707"/>
      <c r="PFZ34" s="707"/>
      <c r="PGA34" s="707"/>
      <c r="PGB34" s="707"/>
      <c r="PGC34" s="707"/>
      <c r="PGD34" s="707"/>
      <c r="PGE34" s="707"/>
      <c r="PGF34" s="707"/>
      <c r="PGG34" s="707"/>
      <c r="PGH34" s="707"/>
      <c r="PGI34" s="707"/>
      <c r="PGJ34" s="707"/>
      <c r="PGK34" s="707"/>
      <c r="PGL34" s="707"/>
      <c r="PGM34" s="707"/>
      <c r="PGN34" s="707"/>
      <c r="PGO34" s="707"/>
      <c r="PGP34" s="707"/>
      <c r="PGQ34" s="707"/>
      <c r="PGR34" s="707"/>
      <c r="PGS34" s="707"/>
      <c r="PGT34" s="707"/>
      <c r="PGU34" s="707"/>
      <c r="PGV34" s="707"/>
      <c r="PGW34" s="707"/>
      <c r="PGX34" s="707"/>
      <c r="PGY34" s="707"/>
      <c r="PGZ34" s="707"/>
      <c r="PHA34" s="707"/>
      <c r="PHB34" s="707"/>
      <c r="PHC34" s="707"/>
      <c r="PHD34" s="707"/>
      <c r="PHE34" s="707"/>
      <c r="PHF34" s="707"/>
      <c r="PHG34" s="707"/>
      <c r="PHH34" s="707"/>
      <c r="PHI34" s="707"/>
      <c r="PHJ34" s="707"/>
      <c r="PHK34" s="707"/>
      <c r="PHL34" s="707"/>
      <c r="PHM34" s="707"/>
      <c r="PHN34" s="707"/>
      <c r="PHO34" s="707"/>
      <c r="PHP34" s="707"/>
      <c r="PHQ34" s="707"/>
      <c r="PHR34" s="707"/>
      <c r="PHS34" s="707"/>
      <c r="PHT34" s="707"/>
      <c r="PHU34" s="707"/>
      <c r="PHV34" s="707"/>
      <c r="PHW34" s="707"/>
      <c r="PHX34" s="707"/>
      <c r="PHY34" s="707"/>
      <c r="PHZ34" s="707"/>
      <c r="PIA34" s="707"/>
      <c r="PIB34" s="707"/>
      <c r="PIC34" s="707"/>
      <c r="PID34" s="707"/>
      <c r="PIE34" s="707"/>
      <c r="PIF34" s="707"/>
      <c r="PIG34" s="707"/>
      <c r="PIH34" s="707"/>
      <c r="PII34" s="707"/>
      <c r="PIJ34" s="707"/>
      <c r="PIK34" s="707"/>
      <c r="PIL34" s="707"/>
      <c r="PIM34" s="707"/>
      <c r="PIN34" s="707"/>
      <c r="PIO34" s="707"/>
      <c r="PIP34" s="707"/>
      <c r="PIQ34" s="707"/>
      <c r="PIR34" s="707"/>
      <c r="PIS34" s="707"/>
      <c r="PIT34" s="707"/>
      <c r="PIU34" s="707"/>
      <c r="PIV34" s="707"/>
      <c r="PIW34" s="707"/>
      <c r="PIX34" s="707"/>
      <c r="PIY34" s="707"/>
      <c r="PIZ34" s="707"/>
      <c r="PJA34" s="707"/>
      <c r="PJB34" s="707"/>
      <c r="PJC34" s="707"/>
      <c r="PJD34" s="707"/>
      <c r="PJE34" s="707"/>
      <c r="PJF34" s="707"/>
      <c r="PJG34" s="707"/>
      <c r="PJH34" s="707"/>
      <c r="PJI34" s="707"/>
      <c r="PJJ34" s="707"/>
      <c r="PJK34" s="707"/>
      <c r="PJL34" s="707"/>
      <c r="PJM34" s="707"/>
      <c r="PJN34" s="707"/>
      <c r="PJO34" s="707"/>
      <c r="PJP34" s="707"/>
      <c r="PJQ34" s="707"/>
      <c r="PJR34" s="707"/>
      <c r="PJS34" s="707"/>
      <c r="PJT34" s="707"/>
      <c r="PJU34" s="707"/>
      <c r="PJV34" s="707"/>
      <c r="PJW34" s="707"/>
      <c r="PJX34" s="707"/>
      <c r="PJY34" s="707"/>
      <c r="PJZ34" s="707"/>
      <c r="PKA34" s="707"/>
      <c r="PKB34" s="707"/>
      <c r="PKC34" s="707"/>
      <c r="PKD34" s="707"/>
      <c r="PKE34" s="707"/>
      <c r="PKF34" s="707"/>
      <c r="PKG34" s="707"/>
      <c r="PKH34" s="707"/>
      <c r="PKI34" s="707"/>
      <c r="PKJ34" s="707"/>
      <c r="PKK34" s="707"/>
      <c r="PKL34" s="707"/>
      <c r="PKM34" s="707"/>
      <c r="PKN34" s="707"/>
      <c r="PKO34" s="707"/>
      <c r="PKP34" s="707"/>
      <c r="PKQ34" s="707"/>
      <c r="PKR34" s="707"/>
      <c r="PKS34" s="707"/>
      <c r="PKT34" s="707"/>
      <c r="PKU34" s="707"/>
      <c r="PKV34" s="707"/>
      <c r="PKW34" s="707"/>
      <c r="PKX34" s="707"/>
      <c r="PKY34" s="707"/>
      <c r="PKZ34" s="707"/>
      <c r="PLA34" s="707"/>
      <c r="PLB34" s="707"/>
      <c r="PLC34" s="707"/>
      <c r="PLD34" s="707"/>
      <c r="PLE34" s="707"/>
      <c r="PLF34" s="707"/>
      <c r="PLG34" s="707"/>
      <c r="PLH34" s="707"/>
      <c r="PLI34" s="707"/>
      <c r="PLJ34" s="707"/>
      <c r="PLK34" s="707"/>
      <c r="PLL34" s="707"/>
      <c r="PLM34" s="707"/>
      <c r="PLN34" s="707"/>
      <c r="PLO34" s="707"/>
      <c r="PLP34" s="707"/>
      <c r="PLQ34" s="707"/>
      <c r="PLR34" s="707"/>
      <c r="PLS34" s="707"/>
      <c r="PLT34" s="707"/>
      <c r="PLU34" s="707"/>
      <c r="PLV34" s="707"/>
      <c r="PLW34" s="707"/>
      <c r="PLX34" s="707"/>
      <c r="PLY34" s="707"/>
      <c r="PLZ34" s="707"/>
      <c r="PMA34" s="707"/>
      <c r="PMB34" s="707"/>
      <c r="PMC34" s="707"/>
      <c r="PMD34" s="707"/>
      <c r="PME34" s="707"/>
      <c r="PMF34" s="707"/>
      <c r="PMG34" s="707"/>
      <c r="PMH34" s="707"/>
      <c r="PMI34" s="707"/>
      <c r="PMJ34" s="707"/>
      <c r="PMK34" s="707"/>
      <c r="PML34" s="707"/>
      <c r="PMM34" s="707"/>
      <c r="PMN34" s="707"/>
      <c r="PMO34" s="707"/>
      <c r="PMP34" s="707"/>
      <c r="PMQ34" s="707"/>
      <c r="PMR34" s="707"/>
      <c r="PMS34" s="707"/>
      <c r="PMT34" s="707"/>
      <c r="PMU34" s="707"/>
      <c r="PMV34" s="707"/>
      <c r="PMW34" s="707"/>
      <c r="PMX34" s="707"/>
      <c r="PMY34" s="707"/>
      <c r="PMZ34" s="707"/>
      <c r="PNA34" s="707"/>
      <c r="PNB34" s="707"/>
      <c r="PNC34" s="707"/>
      <c r="PND34" s="707"/>
      <c r="PNE34" s="707"/>
      <c r="PNF34" s="707"/>
      <c r="PNG34" s="707"/>
      <c r="PNH34" s="707"/>
      <c r="PNI34" s="707"/>
      <c r="PNJ34" s="707"/>
      <c r="PNK34" s="707"/>
      <c r="PNL34" s="707"/>
      <c r="PNM34" s="707"/>
      <c r="PNN34" s="707"/>
      <c r="PNO34" s="707"/>
      <c r="PNP34" s="707"/>
      <c r="PNQ34" s="707"/>
      <c r="PNR34" s="707"/>
      <c r="PNS34" s="707"/>
      <c r="PNT34" s="707"/>
      <c r="PNU34" s="707"/>
      <c r="PNV34" s="707"/>
      <c r="PNW34" s="707"/>
      <c r="PNX34" s="707"/>
      <c r="PNY34" s="707"/>
      <c r="PNZ34" s="707"/>
      <c r="POA34" s="707"/>
      <c r="POB34" s="707"/>
      <c r="POC34" s="707"/>
      <c r="POD34" s="707"/>
      <c r="POE34" s="707"/>
      <c r="POF34" s="707"/>
      <c r="POG34" s="707"/>
      <c r="POH34" s="707"/>
      <c r="POI34" s="707"/>
      <c r="POJ34" s="707"/>
      <c r="POK34" s="707"/>
      <c r="POL34" s="707"/>
      <c r="POM34" s="707"/>
      <c r="PON34" s="707"/>
      <c r="POO34" s="707"/>
      <c r="POP34" s="707"/>
      <c r="POQ34" s="707"/>
      <c r="POR34" s="707"/>
      <c r="POS34" s="707"/>
      <c r="POT34" s="707"/>
      <c r="POU34" s="707"/>
      <c r="POV34" s="707"/>
      <c r="POW34" s="707"/>
      <c r="POX34" s="707"/>
      <c r="POY34" s="707"/>
      <c r="POZ34" s="707"/>
      <c r="PPA34" s="707"/>
      <c r="PPB34" s="707"/>
      <c r="PPC34" s="707"/>
      <c r="PPD34" s="707"/>
      <c r="PPE34" s="707"/>
      <c r="PPF34" s="707"/>
      <c r="PPG34" s="707"/>
      <c r="PPH34" s="707"/>
      <c r="PPI34" s="707"/>
      <c r="PPJ34" s="707"/>
      <c r="PPK34" s="707"/>
      <c r="PPL34" s="707"/>
      <c r="PPM34" s="707"/>
      <c r="PPN34" s="707"/>
      <c r="PPO34" s="707"/>
      <c r="PPP34" s="707"/>
      <c r="PPQ34" s="707"/>
      <c r="PPR34" s="707"/>
      <c r="PPS34" s="707"/>
      <c r="PPT34" s="707"/>
      <c r="PPU34" s="707"/>
      <c r="PPV34" s="707"/>
      <c r="PPW34" s="707"/>
      <c r="PPX34" s="707"/>
      <c r="PPY34" s="707"/>
      <c r="PPZ34" s="707"/>
      <c r="PQA34" s="707"/>
      <c r="PQB34" s="707"/>
      <c r="PQC34" s="707"/>
      <c r="PQD34" s="707"/>
      <c r="PQE34" s="707"/>
      <c r="PQF34" s="707"/>
      <c r="PQG34" s="707"/>
      <c r="PQH34" s="707"/>
      <c r="PQI34" s="707"/>
      <c r="PQJ34" s="707"/>
      <c r="PQK34" s="707"/>
      <c r="PQL34" s="707"/>
      <c r="PQM34" s="707"/>
      <c r="PQN34" s="707"/>
      <c r="PQO34" s="707"/>
      <c r="PQP34" s="707"/>
      <c r="PQQ34" s="707"/>
      <c r="PQR34" s="707"/>
      <c r="PQS34" s="707"/>
      <c r="PQT34" s="707"/>
      <c r="PQU34" s="707"/>
      <c r="PQV34" s="707"/>
      <c r="PQW34" s="707"/>
      <c r="PQX34" s="707"/>
      <c r="PQY34" s="707"/>
      <c r="PQZ34" s="707"/>
      <c r="PRA34" s="707"/>
      <c r="PRB34" s="707"/>
      <c r="PRC34" s="707"/>
      <c r="PRD34" s="707"/>
      <c r="PRE34" s="707"/>
      <c r="PRF34" s="707"/>
      <c r="PRG34" s="707"/>
      <c r="PRH34" s="707"/>
      <c r="PRI34" s="707"/>
      <c r="PRJ34" s="707"/>
      <c r="PRK34" s="707"/>
      <c r="PRL34" s="707"/>
      <c r="PRM34" s="707"/>
      <c r="PRN34" s="707"/>
      <c r="PRO34" s="707"/>
      <c r="PRP34" s="707"/>
      <c r="PRQ34" s="707"/>
      <c r="PRR34" s="707"/>
      <c r="PRS34" s="707"/>
      <c r="PRT34" s="707"/>
      <c r="PRU34" s="707"/>
      <c r="PRV34" s="707"/>
      <c r="PRW34" s="707"/>
      <c r="PRX34" s="707"/>
      <c r="PRY34" s="707"/>
      <c r="PRZ34" s="707"/>
      <c r="PSA34" s="707"/>
      <c r="PSB34" s="707"/>
      <c r="PSC34" s="707"/>
      <c r="PSD34" s="707"/>
      <c r="PSE34" s="707"/>
      <c r="PSF34" s="707"/>
      <c r="PSG34" s="707"/>
      <c r="PSH34" s="707"/>
      <c r="PSI34" s="707"/>
      <c r="PSJ34" s="707"/>
      <c r="PSK34" s="707"/>
      <c r="PSL34" s="707"/>
      <c r="PSM34" s="707"/>
      <c r="PSN34" s="707"/>
      <c r="PSO34" s="707"/>
      <c r="PSP34" s="707"/>
      <c r="PSQ34" s="707"/>
      <c r="PSR34" s="707"/>
      <c r="PSS34" s="707"/>
      <c r="PST34" s="707"/>
      <c r="PSU34" s="707"/>
      <c r="PSV34" s="707"/>
      <c r="PSW34" s="707"/>
      <c r="PSX34" s="707"/>
      <c r="PSY34" s="707"/>
      <c r="PSZ34" s="707"/>
      <c r="PTA34" s="707"/>
      <c r="PTB34" s="707"/>
      <c r="PTC34" s="707"/>
      <c r="PTD34" s="707"/>
      <c r="PTE34" s="707"/>
      <c r="PTF34" s="707"/>
      <c r="PTG34" s="707"/>
      <c r="PTH34" s="707"/>
      <c r="PTI34" s="707"/>
      <c r="PTJ34" s="707"/>
      <c r="PTK34" s="707"/>
      <c r="PTL34" s="707"/>
      <c r="PTM34" s="707"/>
      <c r="PTN34" s="707"/>
      <c r="PTO34" s="707"/>
      <c r="PTP34" s="707"/>
      <c r="PTQ34" s="707"/>
      <c r="PTR34" s="707"/>
      <c r="PTS34" s="707"/>
      <c r="PTT34" s="707"/>
      <c r="PTU34" s="707"/>
      <c r="PTV34" s="707"/>
      <c r="PTW34" s="707"/>
      <c r="PTX34" s="707"/>
      <c r="PTY34" s="707"/>
      <c r="PTZ34" s="707"/>
      <c r="PUA34" s="707"/>
      <c r="PUB34" s="707"/>
      <c r="PUC34" s="707"/>
      <c r="PUD34" s="707"/>
      <c r="PUE34" s="707"/>
      <c r="PUF34" s="707"/>
      <c r="PUG34" s="707"/>
      <c r="PUH34" s="707"/>
      <c r="PUI34" s="707"/>
      <c r="PUJ34" s="707"/>
      <c r="PUK34" s="707"/>
      <c r="PUL34" s="707"/>
      <c r="PUM34" s="707"/>
      <c r="PUN34" s="707"/>
      <c r="PUO34" s="707"/>
      <c r="PUP34" s="707"/>
      <c r="PUQ34" s="707"/>
      <c r="PUR34" s="707"/>
      <c r="PUS34" s="707"/>
      <c r="PUT34" s="707"/>
      <c r="PUU34" s="707"/>
      <c r="PUV34" s="707"/>
      <c r="PUW34" s="707"/>
      <c r="PUX34" s="707"/>
      <c r="PUY34" s="707"/>
      <c r="PUZ34" s="707"/>
      <c r="PVA34" s="707"/>
      <c r="PVB34" s="707"/>
      <c r="PVC34" s="707"/>
      <c r="PVD34" s="707"/>
      <c r="PVE34" s="707"/>
      <c r="PVF34" s="707"/>
      <c r="PVG34" s="707"/>
      <c r="PVH34" s="707"/>
      <c r="PVI34" s="707"/>
      <c r="PVJ34" s="707"/>
      <c r="PVK34" s="707"/>
      <c r="PVL34" s="707"/>
      <c r="PVM34" s="707"/>
      <c r="PVN34" s="707"/>
      <c r="PVO34" s="707"/>
      <c r="PVP34" s="707"/>
      <c r="PVQ34" s="707"/>
      <c r="PVR34" s="707"/>
      <c r="PVS34" s="707"/>
      <c r="PVT34" s="707"/>
      <c r="PVU34" s="707"/>
      <c r="PVV34" s="707"/>
      <c r="PVW34" s="707"/>
      <c r="PVX34" s="707"/>
      <c r="PVY34" s="707"/>
      <c r="PVZ34" s="707"/>
      <c r="PWA34" s="707"/>
      <c r="PWB34" s="707"/>
      <c r="PWC34" s="707"/>
      <c r="PWD34" s="707"/>
      <c r="PWE34" s="707"/>
      <c r="PWF34" s="707"/>
      <c r="PWG34" s="707"/>
      <c r="PWH34" s="707"/>
      <c r="PWI34" s="707"/>
      <c r="PWJ34" s="707"/>
      <c r="PWK34" s="707"/>
      <c r="PWL34" s="707"/>
      <c r="PWM34" s="707"/>
      <c r="PWN34" s="707"/>
      <c r="PWO34" s="707"/>
      <c r="PWP34" s="707"/>
      <c r="PWQ34" s="707"/>
      <c r="PWR34" s="707"/>
      <c r="PWS34" s="707"/>
      <c r="PWT34" s="707"/>
      <c r="PWU34" s="707"/>
      <c r="PWV34" s="707"/>
      <c r="PWW34" s="707"/>
      <c r="PWX34" s="707"/>
      <c r="PWY34" s="707"/>
      <c r="PWZ34" s="707"/>
      <c r="PXA34" s="707"/>
      <c r="PXB34" s="707"/>
      <c r="PXC34" s="707"/>
      <c r="PXD34" s="707"/>
      <c r="PXE34" s="707"/>
      <c r="PXF34" s="707"/>
      <c r="PXG34" s="707"/>
      <c r="PXH34" s="707"/>
      <c r="PXI34" s="707"/>
      <c r="PXJ34" s="707"/>
      <c r="PXK34" s="707"/>
      <c r="PXL34" s="707"/>
      <c r="PXM34" s="707"/>
      <c r="PXN34" s="707"/>
      <c r="PXO34" s="707"/>
      <c r="PXP34" s="707"/>
      <c r="PXQ34" s="707"/>
      <c r="PXR34" s="707"/>
      <c r="PXS34" s="707"/>
      <c r="PXT34" s="707"/>
      <c r="PXU34" s="707"/>
      <c r="PXV34" s="707"/>
      <c r="PXW34" s="707"/>
      <c r="PXX34" s="707"/>
      <c r="PXY34" s="707"/>
      <c r="PXZ34" s="707"/>
      <c r="PYA34" s="707"/>
      <c r="PYB34" s="707"/>
      <c r="PYC34" s="707"/>
      <c r="PYD34" s="707"/>
      <c r="PYE34" s="707"/>
      <c r="PYF34" s="707"/>
      <c r="PYG34" s="707"/>
      <c r="PYH34" s="707"/>
      <c r="PYI34" s="707"/>
      <c r="PYJ34" s="707"/>
      <c r="PYK34" s="707"/>
      <c r="PYL34" s="707"/>
      <c r="PYM34" s="707"/>
      <c r="PYN34" s="707"/>
      <c r="PYO34" s="707"/>
      <c r="PYP34" s="707"/>
      <c r="PYQ34" s="707"/>
      <c r="PYR34" s="707"/>
      <c r="PYS34" s="707"/>
      <c r="PYT34" s="707"/>
      <c r="PYU34" s="707"/>
      <c r="PYV34" s="707"/>
      <c r="PYW34" s="707"/>
      <c r="PYX34" s="707"/>
      <c r="PYY34" s="707"/>
      <c r="PYZ34" s="707"/>
      <c r="PZA34" s="707"/>
      <c r="PZB34" s="707"/>
      <c r="PZC34" s="707"/>
      <c r="PZD34" s="707"/>
      <c r="PZE34" s="707"/>
      <c r="PZF34" s="707"/>
      <c r="PZG34" s="707"/>
      <c r="PZH34" s="707"/>
      <c r="PZI34" s="707"/>
      <c r="PZJ34" s="707"/>
      <c r="PZK34" s="707"/>
      <c r="PZL34" s="707"/>
      <c r="PZM34" s="707"/>
      <c r="PZN34" s="707"/>
      <c r="PZO34" s="707"/>
      <c r="PZP34" s="707"/>
      <c r="PZQ34" s="707"/>
      <c r="PZR34" s="707"/>
      <c r="PZS34" s="707"/>
      <c r="PZT34" s="707"/>
      <c r="PZU34" s="707"/>
      <c r="PZV34" s="707"/>
      <c r="PZW34" s="707"/>
      <c r="PZX34" s="707"/>
      <c r="PZY34" s="707"/>
      <c r="PZZ34" s="707"/>
      <c r="QAA34" s="707"/>
      <c r="QAB34" s="707"/>
      <c r="QAC34" s="707"/>
      <c r="QAD34" s="707"/>
      <c r="QAE34" s="707"/>
      <c r="QAF34" s="707"/>
      <c r="QAG34" s="707"/>
      <c r="QAH34" s="707"/>
      <c r="QAI34" s="707"/>
      <c r="QAJ34" s="707"/>
      <c r="QAK34" s="707"/>
      <c r="QAL34" s="707"/>
      <c r="QAM34" s="707"/>
      <c r="QAN34" s="707"/>
      <c r="QAO34" s="707"/>
      <c r="QAP34" s="707"/>
      <c r="QAQ34" s="707"/>
      <c r="QAR34" s="707"/>
      <c r="QAS34" s="707"/>
      <c r="QAT34" s="707"/>
      <c r="QAU34" s="707"/>
      <c r="QAV34" s="707"/>
      <c r="QAW34" s="707"/>
      <c r="QAX34" s="707"/>
      <c r="QAY34" s="707"/>
      <c r="QAZ34" s="707"/>
      <c r="QBA34" s="707"/>
      <c r="QBB34" s="707"/>
      <c r="QBC34" s="707"/>
      <c r="QBD34" s="707"/>
      <c r="QBE34" s="707"/>
      <c r="QBF34" s="707"/>
      <c r="QBG34" s="707"/>
      <c r="QBH34" s="707"/>
      <c r="QBI34" s="707"/>
      <c r="QBJ34" s="707"/>
      <c r="QBK34" s="707"/>
      <c r="QBL34" s="707"/>
      <c r="QBM34" s="707"/>
      <c r="QBN34" s="707"/>
      <c r="QBO34" s="707"/>
      <c r="QBP34" s="707"/>
      <c r="QBQ34" s="707"/>
      <c r="QBR34" s="707"/>
      <c r="QBS34" s="707"/>
      <c r="QBT34" s="707"/>
      <c r="QBU34" s="707"/>
      <c r="QBV34" s="707"/>
      <c r="QBW34" s="707"/>
      <c r="QBX34" s="707"/>
      <c r="QBY34" s="707"/>
      <c r="QBZ34" s="707"/>
      <c r="QCA34" s="707"/>
      <c r="QCB34" s="707"/>
      <c r="QCC34" s="707"/>
      <c r="QCD34" s="707"/>
      <c r="QCE34" s="707"/>
      <c r="QCF34" s="707"/>
      <c r="QCG34" s="707"/>
      <c r="QCH34" s="707"/>
      <c r="QCI34" s="707"/>
      <c r="QCJ34" s="707"/>
      <c r="QCK34" s="707"/>
      <c r="QCL34" s="707"/>
      <c r="QCM34" s="707"/>
      <c r="QCN34" s="707"/>
      <c r="QCO34" s="707"/>
      <c r="QCP34" s="707"/>
      <c r="QCQ34" s="707"/>
      <c r="QCR34" s="707"/>
      <c r="QCS34" s="707"/>
      <c r="QCT34" s="707"/>
      <c r="QCU34" s="707"/>
      <c r="QCV34" s="707"/>
      <c r="QCW34" s="707"/>
      <c r="QCX34" s="707"/>
      <c r="QCY34" s="707"/>
      <c r="QCZ34" s="707"/>
      <c r="QDA34" s="707"/>
      <c r="QDB34" s="707"/>
      <c r="QDC34" s="707"/>
      <c r="QDD34" s="707"/>
      <c r="QDE34" s="707"/>
      <c r="QDF34" s="707"/>
      <c r="QDG34" s="707"/>
      <c r="QDH34" s="707"/>
      <c r="QDI34" s="707"/>
      <c r="QDJ34" s="707"/>
      <c r="QDK34" s="707"/>
      <c r="QDL34" s="707"/>
      <c r="QDM34" s="707"/>
      <c r="QDN34" s="707"/>
      <c r="QDO34" s="707"/>
      <c r="QDP34" s="707"/>
      <c r="QDQ34" s="707"/>
      <c r="QDR34" s="707"/>
      <c r="QDS34" s="707"/>
      <c r="QDT34" s="707"/>
      <c r="QDU34" s="707"/>
      <c r="QDV34" s="707"/>
      <c r="QDW34" s="707"/>
      <c r="QDX34" s="707"/>
      <c r="QDY34" s="707"/>
      <c r="QDZ34" s="707"/>
      <c r="QEA34" s="707"/>
      <c r="QEB34" s="707"/>
      <c r="QEC34" s="707"/>
      <c r="QED34" s="707"/>
      <c r="QEE34" s="707"/>
      <c r="QEF34" s="707"/>
      <c r="QEG34" s="707"/>
      <c r="QEH34" s="707"/>
      <c r="QEI34" s="707"/>
      <c r="QEJ34" s="707"/>
      <c r="QEK34" s="707"/>
      <c r="QEL34" s="707"/>
      <c r="QEM34" s="707"/>
      <c r="QEN34" s="707"/>
      <c r="QEO34" s="707"/>
      <c r="QEP34" s="707"/>
      <c r="QEQ34" s="707"/>
      <c r="QER34" s="707"/>
      <c r="QES34" s="707"/>
      <c r="QET34" s="707"/>
      <c r="QEU34" s="707"/>
      <c r="QEV34" s="707"/>
      <c r="QEW34" s="707"/>
      <c r="QEX34" s="707"/>
      <c r="QEY34" s="707"/>
      <c r="QEZ34" s="707"/>
      <c r="QFA34" s="707"/>
      <c r="QFB34" s="707"/>
      <c r="QFC34" s="707"/>
      <c r="QFD34" s="707"/>
      <c r="QFE34" s="707"/>
      <c r="QFF34" s="707"/>
      <c r="QFG34" s="707"/>
      <c r="QFH34" s="707"/>
      <c r="QFI34" s="707"/>
      <c r="QFJ34" s="707"/>
      <c r="QFK34" s="707"/>
      <c r="QFL34" s="707"/>
      <c r="QFM34" s="707"/>
      <c r="QFN34" s="707"/>
      <c r="QFO34" s="707"/>
      <c r="QFP34" s="707"/>
      <c r="QFQ34" s="707"/>
      <c r="QFR34" s="707"/>
      <c r="QFS34" s="707"/>
      <c r="QFT34" s="707"/>
      <c r="QFU34" s="707"/>
      <c r="QFV34" s="707"/>
      <c r="QFW34" s="707"/>
      <c r="QFX34" s="707"/>
      <c r="QFY34" s="707"/>
      <c r="QFZ34" s="707"/>
      <c r="QGA34" s="707"/>
      <c r="QGB34" s="707"/>
      <c r="QGC34" s="707"/>
      <c r="QGD34" s="707"/>
      <c r="QGE34" s="707"/>
      <c r="QGF34" s="707"/>
      <c r="QGG34" s="707"/>
      <c r="QGH34" s="707"/>
      <c r="QGI34" s="707"/>
      <c r="QGJ34" s="707"/>
      <c r="QGK34" s="707"/>
      <c r="QGL34" s="707"/>
      <c r="QGM34" s="707"/>
      <c r="QGN34" s="707"/>
      <c r="QGO34" s="707"/>
      <c r="QGP34" s="707"/>
      <c r="QGQ34" s="707"/>
      <c r="QGR34" s="707"/>
      <c r="QGS34" s="707"/>
      <c r="QGT34" s="707"/>
      <c r="QGU34" s="707"/>
      <c r="QGV34" s="707"/>
      <c r="QGW34" s="707"/>
      <c r="QGX34" s="707"/>
      <c r="QGY34" s="707"/>
      <c r="QGZ34" s="707"/>
      <c r="QHA34" s="707"/>
      <c r="QHB34" s="707"/>
      <c r="QHC34" s="707"/>
      <c r="QHD34" s="707"/>
      <c r="QHE34" s="707"/>
      <c r="QHF34" s="707"/>
      <c r="QHG34" s="707"/>
      <c r="QHH34" s="707"/>
      <c r="QHI34" s="707"/>
      <c r="QHJ34" s="707"/>
      <c r="QHK34" s="707"/>
      <c r="QHL34" s="707"/>
      <c r="QHM34" s="707"/>
      <c r="QHN34" s="707"/>
      <c r="QHO34" s="707"/>
      <c r="QHP34" s="707"/>
      <c r="QHQ34" s="707"/>
      <c r="QHR34" s="707"/>
      <c r="QHS34" s="707"/>
      <c r="QHT34" s="707"/>
      <c r="QHU34" s="707"/>
      <c r="QHV34" s="707"/>
      <c r="QHW34" s="707"/>
      <c r="QHX34" s="707"/>
      <c r="QHY34" s="707"/>
      <c r="QHZ34" s="707"/>
      <c r="QIA34" s="707"/>
      <c r="QIB34" s="707"/>
      <c r="QIC34" s="707"/>
      <c r="QID34" s="707"/>
      <c r="QIE34" s="707"/>
      <c r="QIF34" s="707"/>
      <c r="QIG34" s="707"/>
      <c r="QIH34" s="707"/>
      <c r="QII34" s="707"/>
      <c r="QIJ34" s="707"/>
      <c r="QIK34" s="707"/>
      <c r="QIL34" s="707"/>
      <c r="QIM34" s="707"/>
      <c r="QIN34" s="707"/>
      <c r="QIO34" s="707"/>
      <c r="QIP34" s="707"/>
      <c r="QIQ34" s="707"/>
      <c r="QIR34" s="707"/>
      <c r="QIS34" s="707"/>
      <c r="QIT34" s="707"/>
      <c r="QIU34" s="707"/>
      <c r="QIV34" s="707"/>
      <c r="QIW34" s="707"/>
      <c r="QIX34" s="707"/>
      <c r="QIY34" s="707"/>
      <c r="QIZ34" s="707"/>
      <c r="QJA34" s="707"/>
      <c r="QJB34" s="707"/>
      <c r="QJC34" s="707"/>
      <c r="QJD34" s="707"/>
      <c r="QJE34" s="707"/>
      <c r="QJF34" s="707"/>
      <c r="QJG34" s="707"/>
      <c r="QJH34" s="707"/>
      <c r="QJI34" s="707"/>
      <c r="QJJ34" s="707"/>
      <c r="QJK34" s="707"/>
      <c r="QJL34" s="707"/>
      <c r="QJM34" s="707"/>
      <c r="QJN34" s="707"/>
      <c r="QJO34" s="707"/>
      <c r="QJP34" s="707"/>
      <c r="QJQ34" s="707"/>
      <c r="QJR34" s="707"/>
      <c r="QJS34" s="707"/>
      <c r="QJT34" s="707"/>
      <c r="QJU34" s="707"/>
      <c r="QJV34" s="707"/>
      <c r="QJW34" s="707"/>
      <c r="QJX34" s="707"/>
      <c r="QJY34" s="707"/>
      <c r="QJZ34" s="707"/>
      <c r="QKA34" s="707"/>
      <c r="QKB34" s="707"/>
      <c r="QKC34" s="707"/>
      <c r="QKD34" s="707"/>
      <c r="QKE34" s="707"/>
      <c r="QKF34" s="707"/>
      <c r="QKG34" s="707"/>
      <c r="QKH34" s="707"/>
      <c r="QKI34" s="707"/>
      <c r="QKJ34" s="707"/>
      <c r="QKK34" s="707"/>
      <c r="QKL34" s="707"/>
      <c r="QKM34" s="707"/>
      <c r="QKN34" s="707"/>
      <c r="QKO34" s="707"/>
      <c r="QKP34" s="707"/>
      <c r="QKQ34" s="707"/>
      <c r="QKR34" s="707"/>
      <c r="QKS34" s="707"/>
      <c r="QKT34" s="707"/>
      <c r="QKU34" s="707"/>
      <c r="QKV34" s="707"/>
      <c r="QKW34" s="707"/>
      <c r="QKX34" s="707"/>
      <c r="QKY34" s="707"/>
      <c r="QKZ34" s="707"/>
      <c r="QLA34" s="707"/>
      <c r="QLB34" s="707"/>
      <c r="QLC34" s="707"/>
      <c r="QLD34" s="707"/>
      <c r="QLE34" s="707"/>
      <c r="QLF34" s="707"/>
      <c r="QLG34" s="707"/>
      <c r="QLH34" s="707"/>
      <c r="QLI34" s="707"/>
      <c r="QLJ34" s="707"/>
      <c r="QLK34" s="707"/>
      <c r="QLL34" s="707"/>
      <c r="QLM34" s="707"/>
      <c r="QLN34" s="707"/>
      <c r="QLO34" s="707"/>
      <c r="QLP34" s="707"/>
      <c r="QLQ34" s="707"/>
      <c r="QLR34" s="707"/>
      <c r="QLS34" s="707"/>
      <c r="QLT34" s="707"/>
      <c r="QLU34" s="707"/>
      <c r="QLV34" s="707"/>
      <c r="QLW34" s="707"/>
      <c r="QLX34" s="707"/>
      <c r="QLY34" s="707"/>
      <c r="QLZ34" s="707"/>
      <c r="QMA34" s="707"/>
      <c r="QMB34" s="707"/>
      <c r="QMC34" s="707"/>
      <c r="QMD34" s="707"/>
      <c r="QME34" s="707"/>
      <c r="QMF34" s="707"/>
      <c r="QMG34" s="707"/>
      <c r="QMH34" s="707"/>
      <c r="QMI34" s="707"/>
      <c r="QMJ34" s="707"/>
      <c r="QMK34" s="707"/>
      <c r="QML34" s="707"/>
      <c r="QMM34" s="707"/>
      <c r="QMN34" s="707"/>
      <c r="QMO34" s="707"/>
      <c r="QMP34" s="707"/>
      <c r="QMQ34" s="707"/>
      <c r="QMR34" s="707"/>
      <c r="QMS34" s="707"/>
      <c r="QMT34" s="707"/>
      <c r="QMU34" s="707"/>
      <c r="QMV34" s="707"/>
      <c r="QMW34" s="707"/>
      <c r="QMX34" s="707"/>
      <c r="QMY34" s="707"/>
      <c r="QMZ34" s="707"/>
      <c r="QNA34" s="707"/>
      <c r="QNB34" s="707"/>
      <c r="QNC34" s="707"/>
      <c r="QND34" s="707"/>
      <c r="QNE34" s="707"/>
      <c r="QNF34" s="707"/>
      <c r="QNG34" s="707"/>
      <c r="QNH34" s="707"/>
      <c r="QNI34" s="707"/>
      <c r="QNJ34" s="707"/>
      <c r="QNK34" s="707"/>
      <c r="QNL34" s="707"/>
      <c r="QNM34" s="707"/>
      <c r="QNN34" s="707"/>
      <c r="QNO34" s="707"/>
      <c r="QNP34" s="707"/>
      <c r="QNQ34" s="707"/>
      <c r="QNR34" s="707"/>
      <c r="QNS34" s="707"/>
      <c r="QNT34" s="707"/>
      <c r="QNU34" s="707"/>
      <c r="QNV34" s="707"/>
      <c r="QNW34" s="707"/>
      <c r="QNX34" s="707"/>
      <c r="QNY34" s="707"/>
      <c r="QNZ34" s="707"/>
      <c r="QOA34" s="707"/>
      <c r="QOB34" s="707"/>
      <c r="QOC34" s="707"/>
      <c r="QOD34" s="707"/>
      <c r="QOE34" s="707"/>
      <c r="QOF34" s="707"/>
      <c r="QOG34" s="707"/>
      <c r="QOH34" s="707"/>
      <c r="QOI34" s="707"/>
      <c r="QOJ34" s="707"/>
      <c r="QOK34" s="707"/>
      <c r="QOL34" s="707"/>
      <c r="QOM34" s="707"/>
      <c r="QON34" s="707"/>
      <c r="QOO34" s="707"/>
      <c r="QOP34" s="707"/>
      <c r="QOQ34" s="707"/>
      <c r="QOR34" s="707"/>
      <c r="QOS34" s="707"/>
      <c r="QOT34" s="707"/>
      <c r="QOU34" s="707"/>
      <c r="QOV34" s="707"/>
      <c r="QOW34" s="707"/>
      <c r="QOX34" s="707"/>
      <c r="QOY34" s="707"/>
      <c r="QOZ34" s="707"/>
      <c r="QPA34" s="707"/>
      <c r="QPB34" s="707"/>
      <c r="QPC34" s="707"/>
      <c r="QPD34" s="707"/>
      <c r="QPE34" s="707"/>
      <c r="QPF34" s="707"/>
      <c r="QPG34" s="707"/>
      <c r="QPH34" s="707"/>
      <c r="QPI34" s="707"/>
      <c r="QPJ34" s="707"/>
      <c r="QPK34" s="707"/>
      <c r="QPL34" s="707"/>
      <c r="QPM34" s="707"/>
      <c r="QPN34" s="707"/>
      <c r="QPO34" s="707"/>
      <c r="QPP34" s="707"/>
      <c r="QPQ34" s="707"/>
      <c r="QPR34" s="707"/>
      <c r="QPS34" s="707"/>
      <c r="QPT34" s="707"/>
      <c r="QPU34" s="707"/>
      <c r="QPV34" s="707"/>
      <c r="QPW34" s="707"/>
      <c r="QPX34" s="707"/>
      <c r="QPY34" s="707"/>
      <c r="QPZ34" s="707"/>
      <c r="QQA34" s="707"/>
      <c r="QQB34" s="707"/>
      <c r="QQC34" s="707"/>
      <c r="QQD34" s="707"/>
      <c r="QQE34" s="707"/>
      <c r="QQF34" s="707"/>
      <c r="QQG34" s="707"/>
      <c r="QQH34" s="707"/>
      <c r="QQI34" s="707"/>
      <c r="QQJ34" s="707"/>
      <c r="QQK34" s="707"/>
      <c r="QQL34" s="707"/>
      <c r="QQM34" s="707"/>
      <c r="QQN34" s="707"/>
      <c r="QQO34" s="707"/>
      <c r="QQP34" s="707"/>
      <c r="QQQ34" s="707"/>
      <c r="QQR34" s="707"/>
      <c r="QQS34" s="707"/>
      <c r="QQT34" s="707"/>
      <c r="QQU34" s="707"/>
      <c r="QQV34" s="707"/>
      <c r="QQW34" s="707"/>
      <c r="QQX34" s="707"/>
      <c r="QQY34" s="707"/>
      <c r="QQZ34" s="707"/>
      <c r="QRA34" s="707"/>
      <c r="QRB34" s="707"/>
      <c r="QRC34" s="707"/>
      <c r="QRD34" s="707"/>
      <c r="QRE34" s="707"/>
      <c r="QRF34" s="707"/>
      <c r="QRG34" s="707"/>
      <c r="QRH34" s="707"/>
      <c r="QRI34" s="707"/>
      <c r="QRJ34" s="707"/>
      <c r="QRK34" s="707"/>
      <c r="QRL34" s="707"/>
      <c r="QRM34" s="707"/>
      <c r="QRN34" s="707"/>
      <c r="QRO34" s="707"/>
      <c r="QRP34" s="707"/>
      <c r="QRQ34" s="707"/>
      <c r="QRR34" s="707"/>
      <c r="QRS34" s="707"/>
      <c r="QRT34" s="707"/>
      <c r="QRU34" s="707"/>
      <c r="QRV34" s="707"/>
      <c r="QRW34" s="707"/>
      <c r="QRX34" s="707"/>
      <c r="QRY34" s="707"/>
      <c r="QRZ34" s="707"/>
      <c r="QSA34" s="707"/>
      <c r="QSB34" s="707"/>
      <c r="QSC34" s="707"/>
      <c r="QSD34" s="707"/>
      <c r="QSE34" s="707"/>
      <c r="QSF34" s="707"/>
      <c r="QSG34" s="707"/>
      <c r="QSH34" s="707"/>
      <c r="QSI34" s="707"/>
      <c r="QSJ34" s="707"/>
      <c r="QSK34" s="707"/>
      <c r="QSL34" s="707"/>
      <c r="QSM34" s="707"/>
      <c r="QSN34" s="707"/>
      <c r="QSO34" s="707"/>
      <c r="QSP34" s="707"/>
      <c r="QSQ34" s="707"/>
      <c r="QSR34" s="707"/>
      <c r="QSS34" s="707"/>
      <c r="QST34" s="707"/>
      <c r="QSU34" s="707"/>
      <c r="QSV34" s="707"/>
      <c r="QSW34" s="707"/>
      <c r="QSX34" s="707"/>
      <c r="QSY34" s="707"/>
      <c r="QSZ34" s="707"/>
      <c r="QTA34" s="707"/>
      <c r="QTB34" s="707"/>
      <c r="QTC34" s="707"/>
      <c r="QTD34" s="707"/>
      <c r="QTE34" s="707"/>
      <c r="QTF34" s="707"/>
      <c r="QTG34" s="707"/>
      <c r="QTH34" s="707"/>
      <c r="QTI34" s="707"/>
      <c r="QTJ34" s="707"/>
      <c r="QTK34" s="707"/>
      <c r="QTL34" s="707"/>
      <c r="QTM34" s="707"/>
      <c r="QTN34" s="707"/>
      <c r="QTO34" s="707"/>
      <c r="QTP34" s="707"/>
      <c r="QTQ34" s="707"/>
      <c r="QTR34" s="707"/>
      <c r="QTS34" s="707"/>
      <c r="QTT34" s="707"/>
      <c r="QTU34" s="707"/>
      <c r="QTV34" s="707"/>
      <c r="QTW34" s="707"/>
      <c r="QTX34" s="707"/>
      <c r="QTY34" s="707"/>
      <c r="QTZ34" s="707"/>
      <c r="QUA34" s="707"/>
      <c r="QUB34" s="707"/>
      <c r="QUC34" s="707"/>
      <c r="QUD34" s="707"/>
      <c r="QUE34" s="707"/>
      <c r="QUF34" s="707"/>
      <c r="QUG34" s="707"/>
      <c r="QUH34" s="707"/>
      <c r="QUI34" s="707"/>
      <c r="QUJ34" s="707"/>
      <c r="QUK34" s="707"/>
      <c r="QUL34" s="707"/>
      <c r="QUM34" s="707"/>
      <c r="QUN34" s="707"/>
      <c r="QUO34" s="707"/>
      <c r="QUP34" s="707"/>
      <c r="QUQ34" s="707"/>
      <c r="QUR34" s="707"/>
      <c r="QUS34" s="707"/>
      <c r="QUT34" s="707"/>
      <c r="QUU34" s="707"/>
      <c r="QUV34" s="707"/>
      <c r="QUW34" s="707"/>
      <c r="QUX34" s="707"/>
      <c r="QUY34" s="707"/>
      <c r="QUZ34" s="707"/>
      <c r="QVA34" s="707"/>
      <c r="QVB34" s="707"/>
      <c r="QVC34" s="707"/>
      <c r="QVD34" s="707"/>
      <c r="QVE34" s="707"/>
      <c r="QVF34" s="707"/>
      <c r="QVG34" s="707"/>
      <c r="QVH34" s="707"/>
      <c r="QVI34" s="707"/>
      <c r="QVJ34" s="707"/>
      <c r="QVK34" s="707"/>
      <c r="QVL34" s="707"/>
      <c r="QVM34" s="707"/>
      <c r="QVN34" s="707"/>
      <c r="QVO34" s="707"/>
      <c r="QVP34" s="707"/>
      <c r="QVQ34" s="707"/>
      <c r="QVR34" s="707"/>
      <c r="QVS34" s="707"/>
      <c r="QVT34" s="707"/>
      <c r="QVU34" s="707"/>
      <c r="QVV34" s="707"/>
      <c r="QVW34" s="707"/>
      <c r="QVX34" s="707"/>
      <c r="QVY34" s="707"/>
      <c r="QVZ34" s="707"/>
      <c r="QWA34" s="707"/>
      <c r="QWB34" s="707"/>
      <c r="QWC34" s="707"/>
      <c r="QWD34" s="707"/>
      <c r="QWE34" s="707"/>
      <c r="QWF34" s="707"/>
      <c r="QWG34" s="707"/>
      <c r="QWH34" s="707"/>
      <c r="QWI34" s="707"/>
      <c r="QWJ34" s="707"/>
      <c r="QWK34" s="707"/>
      <c r="QWL34" s="707"/>
      <c r="QWM34" s="707"/>
      <c r="QWN34" s="707"/>
      <c r="QWO34" s="707"/>
      <c r="QWP34" s="707"/>
      <c r="QWQ34" s="707"/>
      <c r="QWR34" s="707"/>
      <c r="QWS34" s="707"/>
      <c r="QWT34" s="707"/>
      <c r="QWU34" s="707"/>
      <c r="QWV34" s="707"/>
      <c r="QWW34" s="707"/>
      <c r="QWX34" s="707"/>
      <c r="QWY34" s="707"/>
      <c r="QWZ34" s="707"/>
      <c r="QXA34" s="707"/>
      <c r="QXB34" s="707"/>
      <c r="QXC34" s="707"/>
      <c r="QXD34" s="707"/>
      <c r="QXE34" s="707"/>
      <c r="QXF34" s="707"/>
      <c r="QXG34" s="707"/>
      <c r="QXH34" s="707"/>
      <c r="QXI34" s="707"/>
      <c r="QXJ34" s="707"/>
      <c r="QXK34" s="707"/>
      <c r="QXL34" s="707"/>
      <c r="QXM34" s="707"/>
      <c r="QXN34" s="707"/>
      <c r="QXO34" s="707"/>
      <c r="QXP34" s="707"/>
      <c r="QXQ34" s="707"/>
      <c r="QXR34" s="707"/>
      <c r="QXS34" s="707"/>
      <c r="QXT34" s="707"/>
      <c r="QXU34" s="707"/>
      <c r="QXV34" s="707"/>
      <c r="QXW34" s="707"/>
      <c r="QXX34" s="707"/>
      <c r="QXY34" s="707"/>
      <c r="QXZ34" s="707"/>
      <c r="QYA34" s="707"/>
      <c r="QYB34" s="707"/>
      <c r="QYC34" s="707"/>
      <c r="QYD34" s="707"/>
      <c r="QYE34" s="707"/>
      <c r="QYF34" s="707"/>
      <c r="QYG34" s="707"/>
      <c r="QYH34" s="707"/>
      <c r="QYI34" s="707"/>
      <c r="QYJ34" s="707"/>
      <c r="QYK34" s="707"/>
      <c r="QYL34" s="707"/>
      <c r="QYM34" s="707"/>
      <c r="QYN34" s="707"/>
      <c r="QYO34" s="707"/>
      <c r="QYP34" s="707"/>
      <c r="QYQ34" s="707"/>
      <c r="QYR34" s="707"/>
      <c r="QYS34" s="707"/>
      <c r="QYT34" s="707"/>
      <c r="QYU34" s="707"/>
      <c r="QYV34" s="707"/>
      <c r="QYW34" s="707"/>
      <c r="QYX34" s="707"/>
      <c r="QYY34" s="707"/>
      <c r="QYZ34" s="707"/>
      <c r="QZA34" s="707"/>
      <c r="QZB34" s="707"/>
      <c r="QZC34" s="707"/>
      <c r="QZD34" s="707"/>
      <c r="QZE34" s="707"/>
      <c r="QZF34" s="707"/>
      <c r="QZG34" s="707"/>
      <c r="QZH34" s="707"/>
      <c r="QZI34" s="707"/>
      <c r="QZJ34" s="707"/>
      <c r="QZK34" s="707"/>
      <c r="QZL34" s="707"/>
      <c r="QZM34" s="707"/>
      <c r="QZN34" s="707"/>
      <c r="QZO34" s="707"/>
      <c r="QZP34" s="707"/>
      <c r="QZQ34" s="707"/>
      <c r="QZR34" s="707"/>
      <c r="QZS34" s="707"/>
      <c r="QZT34" s="707"/>
      <c r="QZU34" s="707"/>
      <c r="QZV34" s="707"/>
      <c r="QZW34" s="707"/>
      <c r="QZX34" s="707"/>
      <c r="QZY34" s="707"/>
      <c r="QZZ34" s="707"/>
      <c r="RAA34" s="707"/>
      <c r="RAB34" s="707"/>
      <c r="RAC34" s="707"/>
      <c r="RAD34" s="707"/>
      <c r="RAE34" s="707"/>
      <c r="RAF34" s="707"/>
      <c r="RAG34" s="707"/>
      <c r="RAH34" s="707"/>
      <c r="RAI34" s="707"/>
      <c r="RAJ34" s="707"/>
      <c r="RAK34" s="707"/>
      <c r="RAL34" s="707"/>
      <c r="RAM34" s="707"/>
      <c r="RAN34" s="707"/>
      <c r="RAO34" s="707"/>
      <c r="RAP34" s="707"/>
      <c r="RAQ34" s="707"/>
      <c r="RAR34" s="707"/>
      <c r="RAS34" s="707"/>
      <c r="RAT34" s="707"/>
      <c r="RAU34" s="707"/>
      <c r="RAV34" s="707"/>
      <c r="RAW34" s="707"/>
      <c r="RAX34" s="707"/>
      <c r="RAY34" s="707"/>
      <c r="RAZ34" s="707"/>
      <c r="RBA34" s="707"/>
      <c r="RBB34" s="707"/>
      <c r="RBC34" s="707"/>
      <c r="RBD34" s="707"/>
      <c r="RBE34" s="707"/>
      <c r="RBF34" s="707"/>
      <c r="RBG34" s="707"/>
      <c r="RBH34" s="707"/>
      <c r="RBI34" s="707"/>
      <c r="RBJ34" s="707"/>
      <c r="RBK34" s="707"/>
      <c r="RBL34" s="707"/>
      <c r="RBM34" s="707"/>
      <c r="RBN34" s="707"/>
      <c r="RBO34" s="707"/>
      <c r="RBP34" s="707"/>
      <c r="RBQ34" s="707"/>
      <c r="RBR34" s="707"/>
      <c r="RBS34" s="707"/>
      <c r="RBT34" s="707"/>
      <c r="RBU34" s="707"/>
      <c r="RBV34" s="707"/>
      <c r="RBW34" s="707"/>
      <c r="RBX34" s="707"/>
      <c r="RBY34" s="707"/>
      <c r="RBZ34" s="707"/>
      <c r="RCA34" s="707"/>
      <c r="RCB34" s="707"/>
      <c r="RCC34" s="707"/>
      <c r="RCD34" s="707"/>
      <c r="RCE34" s="707"/>
      <c r="RCF34" s="707"/>
      <c r="RCG34" s="707"/>
      <c r="RCH34" s="707"/>
      <c r="RCI34" s="707"/>
      <c r="RCJ34" s="707"/>
      <c r="RCK34" s="707"/>
      <c r="RCL34" s="707"/>
      <c r="RCM34" s="707"/>
      <c r="RCN34" s="707"/>
      <c r="RCO34" s="707"/>
      <c r="RCP34" s="707"/>
      <c r="RCQ34" s="707"/>
      <c r="RCR34" s="707"/>
      <c r="RCS34" s="707"/>
      <c r="RCT34" s="707"/>
      <c r="RCU34" s="707"/>
      <c r="RCV34" s="707"/>
      <c r="RCW34" s="707"/>
      <c r="RCX34" s="707"/>
      <c r="RCY34" s="707"/>
      <c r="RCZ34" s="707"/>
      <c r="RDA34" s="707"/>
      <c r="RDB34" s="707"/>
      <c r="RDC34" s="707"/>
      <c r="RDD34" s="707"/>
      <c r="RDE34" s="707"/>
      <c r="RDF34" s="707"/>
      <c r="RDG34" s="707"/>
      <c r="RDH34" s="707"/>
      <c r="RDI34" s="707"/>
      <c r="RDJ34" s="707"/>
      <c r="RDK34" s="707"/>
      <c r="RDL34" s="707"/>
      <c r="RDM34" s="707"/>
      <c r="RDN34" s="707"/>
      <c r="RDO34" s="707"/>
      <c r="RDP34" s="707"/>
      <c r="RDQ34" s="707"/>
      <c r="RDR34" s="707"/>
      <c r="RDS34" s="707"/>
      <c r="RDT34" s="707"/>
      <c r="RDU34" s="707"/>
      <c r="RDV34" s="707"/>
      <c r="RDW34" s="707"/>
      <c r="RDX34" s="707"/>
      <c r="RDY34" s="707"/>
      <c r="RDZ34" s="707"/>
      <c r="REA34" s="707"/>
      <c r="REB34" s="707"/>
      <c r="REC34" s="707"/>
      <c r="RED34" s="707"/>
      <c r="REE34" s="707"/>
      <c r="REF34" s="707"/>
      <c r="REG34" s="707"/>
      <c r="REH34" s="707"/>
      <c r="REI34" s="707"/>
      <c r="REJ34" s="707"/>
      <c r="REK34" s="707"/>
      <c r="REL34" s="707"/>
      <c r="REM34" s="707"/>
      <c r="REN34" s="707"/>
      <c r="REO34" s="707"/>
      <c r="REP34" s="707"/>
      <c r="REQ34" s="707"/>
      <c r="RER34" s="707"/>
      <c r="RES34" s="707"/>
      <c r="RET34" s="707"/>
      <c r="REU34" s="707"/>
      <c r="REV34" s="707"/>
      <c r="REW34" s="707"/>
      <c r="REX34" s="707"/>
      <c r="REY34" s="707"/>
      <c r="REZ34" s="707"/>
      <c r="RFA34" s="707"/>
      <c r="RFB34" s="707"/>
      <c r="RFC34" s="707"/>
      <c r="RFD34" s="707"/>
      <c r="RFE34" s="707"/>
      <c r="RFF34" s="707"/>
      <c r="RFG34" s="707"/>
      <c r="RFH34" s="707"/>
      <c r="RFI34" s="707"/>
      <c r="RFJ34" s="707"/>
      <c r="RFK34" s="707"/>
      <c r="RFL34" s="707"/>
      <c r="RFM34" s="707"/>
      <c r="RFN34" s="707"/>
      <c r="RFO34" s="707"/>
      <c r="RFP34" s="707"/>
      <c r="RFQ34" s="707"/>
      <c r="RFR34" s="707"/>
      <c r="RFS34" s="707"/>
      <c r="RFT34" s="707"/>
      <c r="RFU34" s="707"/>
      <c r="RFV34" s="707"/>
      <c r="RFW34" s="707"/>
      <c r="RFX34" s="707"/>
      <c r="RFY34" s="707"/>
      <c r="RFZ34" s="707"/>
      <c r="RGA34" s="707"/>
      <c r="RGB34" s="707"/>
      <c r="RGC34" s="707"/>
      <c r="RGD34" s="707"/>
      <c r="RGE34" s="707"/>
      <c r="RGF34" s="707"/>
      <c r="RGG34" s="707"/>
      <c r="RGH34" s="707"/>
      <c r="RGI34" s="707"/>
      <c r="RGJ34" s="707"/>
      <c r="RGK34" s="707"/>
      <c r="RGL34" s="707"/>
      <c r="RGM34" s="707"/>
      <c r="RGN34" s="707"/>
      <c r="RGO34" s="707"/>
      <c r="RGP34" s="707"/>
      <c r="RGQ34" s="707"/>
      <c r="RGR34" s="707"/>
      <c r="RGS34" s="707"/>
      <c r="RGT34" s="707"/>
      <c r="RGU34" s="707"/>
      <c r="RGV34" s="707"/>
      <c r="RGW34" s="707"/>
      <c r="RGX34" s="707"/>
      <c r="RGY34" s="707"/>
      <c r="RGZ34" s="707"/>
      <c r="RHA34" s="707"/>
      <c r="RHB34" s="707"/>
      <c r="RHC34" s="707"/>
      <c r="RHD34" s="707"/>
      <c r="RHE34" s="707"/>
      <c r="RHF34" s="707"/>
      <c r="RHG34" s="707"/>
      <c r="RHH34" s="707"/>
      <c r="RHI34" s="707"/>
      <c r="RHJ34" s="707"/>
      <c r="RHK34" s="707"/>
      <c r="RHL34" s="707"/>
      <c r="RHM34" s="707"/>
      <c r="RHN34" s="707"/>
      <c r="RHO34" s="707"/>
      <c r="RHP34" s="707"/>
      <c r="RHQ34" s="707"/>
      <c r="RHR34" s="707"/>
      <c r="RHS34" s="707"/>
      <c r="RHT34" s="707"/>
      <c r="RHU34" s="707"/>
      <c r="RHV34" s="707"/>
      <c r="RHW34" s="707"/>
      <c r="RHX34" s="707"/>
      <c r="RHY34" s="707"/>
      <c r="RHZ34" s="707"/>
      <c r="RIA34" s="707"/>
      <c r="RIB34" s="707"/>
      <c r="RIC34" s="707"/>
      <c r="RID34" s="707"/>
      <c r="RIE34" s="707"/>
      <c r="RIF34" s="707"/>
      <c r="RIG34" s="707"/>
      <c r="RIH34" s="707"/>
      <c r="RII34" s="707"/>
      <c r="RIJ34" s="707"/>
      <c r="RIK34" s="707"/>
      <c r="RIL34" s="707"/>
      <c r="RIM34" s="707"/>
      <c r="RIN34" s="707"/>
      <c r="RIO34" s="707"/>
      <c r="RIP34" s="707"/>
      <c r="RIQ34" s="707"/>
      <c r="RIR34" s="707"/>
      <c r="RIS34" s="707"/>
      <c r="RIT34" s="707"/>
      <c r="RIU34" s="707"/>
      <c r="RIV34" s="707"/>
      <c r="RIW34" s="707"/>
      <c r="RIX34" s="707"/>
      <c r="RIY34" s="707"/>
      <c r="RIZ34" s="707"/>
      <c r="RJA34" s="707"/>
      <c r="RJB34" s="707"/>
      <c r="RJC34" s="707"/>
      <c r="RJD34" s="707"/>
      <c r="RJE34" s="707"/>
      <c r="RJF34" s="707"/>
      <c r="RJG34" s="707"/>
      <c r="RJH34" s="707"/>
      <c r="RJI34" s="707"/>
      <c r="RJJ34" s="707"/>
      <c r="RJK34" s="707"/>
      <c r="RJL34" s="707"/>
      <c r="RJM34" s="707"/>
      <c r="RJN34" s="707"/>
      <c r="RJO34" s="707"/>
      <c r="RJP34" s="707"/>
      <c r="RJQ34" s="707"/>
      <c r="RJR34" s="707"/>
      <c r="RJS34" s="707"/>
      <c r="RJT34" s="707"/>
      <c r="RJU34" s="707"/>
      <c r="RJV34" s="707"/>
      <c r="RJW34" s="707"/>
      <c r="RJX34" s="707"/>
      <c r="RJY34" s="707"/>
      <c r="RJZ34" s="707"/>
      <c r="RKA34" s="707"/>
      <c r="RKB34" s="707"/>
      <c r="RKC34" s="707"/>
      <c r="RKD34" s="707"/>
      <c r="RKE34" s="707"/>
      <c r="RKF34" s="707"/>
      <c r="RKG34" s="707"/>
      <c r="RKH34" s="707"/>
      <c r="RKI34" s="707"/>
      <c r="RKJ34" s="707"/>
      <c r="RKK34" s="707"/>
      <c r="RKL34" s="707"/>
      <c r="RKM34" s="707"/>
      <c r="RKN34" s="707"/>
      <c r="RKO34" s="707"/>
      <c r="RKP34" s="707"/>
      <c r="RKQ34" s="707"/>
      <c r="RKR34" s="707"/>
      <c r="RKS34" s="707"/>
      <c r="RKT34" s="707"/>
      <c r="RKU34" s="707"/>
      <c r="RKV34" s="707"/>
      <c r="RKW34" s="707"/>
      <c r="RKX34" s="707"/>
      <c r="RKY34" s="707"/>
      <c r="RKZ34" s="707"/>
      <c r="RLA34" s="707"/>
      <c r="RLB34" s="707"/>
      <c r="RLC34" s="707"/>
      <c r="RLD34" s="707"/>
      <c r="RLE34" s="707"/>
      <c r="RLF34" s="707"/>
      <c r="RLG34" s="707"/>
      <c r="RLH34" s="707"/>
      <c r="RLI34" s="707"/>
      <c r="RLJ34" s="707"/>
      <c r="RLK34" s="707"/>
      <c r="RLL34" s="707"/>
      <c r="RLM34" s="707"/>
      <c r="RLN34" s="707"/>
      <c r="RLO34" s="707"/>
      <c r="RLP34" s="707"/>
      <c r="RLQ34" s="707"/>
      <c r="RLR34" s="707"/>
      <c r="RLS34" s="707"/>
      <c r="RLT34" s="707"/>
      <c r="RLU34" s="707"/>
      <c r="RLV34" s="707"/>
      <c r="RLW34" s="707"/>
      <c r="RLX34" s="707"/>
      <c r="RLY34" s="707"/>
      <c r="RLZ34" s="707"/>
      <c r="RMA34" s="707"/>
      <c r="RMB34" s="707"/>
      <c r="RMC34" s="707"/>
      <c r="RMD34" s="707"/>
      <c r="RME34" s="707"/>
      <c r="RMF34" s="707"/>
      <c r="RMG34" s="707"/>
      <c r="RMH34" s="707"/>
      <c r="RMI34" s="707"/>
      <c r="RMJ34" s="707"/>
      <c r="RMK34" s="707"/>
      <c r="RML34" s="707"/>
      <c r="RMM34" s="707"/>
      <c r="RMN34" s="707"/>
      <c r="RMO34" s="707"/>
      <c r="RMP34" s="707"/>
      <c r="RMQ34" s="707"/>
      <c r="RMR34" s="707"/>
      <c r="RMS34" s="707"/>
      <c r="RMT34" s="707"/>
      <c r="RMU34" s="707"/>
      <c r="RMV34" s="707"/>
      <c r="RMW34" s="707"/>
      <c r="RMX34" s="707"/>
      <c r="RMY34" s="707"/>
      <c r="RMZ34" s="707"/>
      <c r="RNA34" s="707"/>
      <c r="RNB34" s="707"/>
      <c r="RNC34" s="707"/>
      <c r="RND34" s="707"/>
      <c r="RNE34" s="707"/>
      <c r="RNF34" s="707"/>
      <c r="RNG34" s="707"/>
      <c r="RNH34" s="707"/>
      <c r="RNI34" s="707"/>
      <c r="RNJ34" s="707"/>
      <c r="RNK34" s="707"/>
      <c r="RNL34" s="707"/>
      <c r="RNM34" s="707"/>
      <c r="RNN34" s="707"/>
      <c r="RNO34" s="707"/>
      <c r="RNP34" s="707"/>
      <c r="RNQ34" s="707"/>
      <c r="RNR34" s="707"/>
      <c r="RNS34" s="707"/>
      <c r="RNT34" s="707"/>
      <c r="RNU34" s="707"/>
      <c r="RNV34" s="707"/>
      <c r="RNW34" s="707"/>
      <c r="RNX34" s="707"/>
      <c r="RNY34" s="707"/>
      <c r="RNZ34" s="707"/>
      <c r="ROA34" s="707"/>
      <c r="ROB34" s="707"/>
      <c r="ROC34" s="707"/>
      <c r="ROD34" s="707"/>
      <c r="ROE34" s="707"/>
      <c r="ROF34" s="707"/>
      <c r="ROG34" s="707"/>
      <c r="ROH34" s="707"/>
      <c r="ROI34" s="707"/>
      <c r="ROJ34" s="707"/>
      <c r="ROK34" s="707"/>
      <c r="ROL34" s="707"/>
      <c r="ROM34" s="707"/>
      <c r="RON34" s="707"/>
      <c r="ROO34" s="707"/>
      <c r="ROP34" s="707"/>
      <c r="ROQ34" s="707"/>
      <c r="ROR34" s="707"/>
      <c r="ROS34" s="707"/>
      <c r="ROT34" s="707"/>
      <c r="ROU34" s="707"/>
      <c r="ROV34" s="707"/>
      <c r="ROW34" s="707"/>
      <c r="ROX34" s="707"/>
      <c r="ROY34" s="707"/>
      <c r="ROZ34" s="707"/>
      <c r="RPA34" s="707"/>
      <c r="RPB34" s="707"/>
      <c r="RPC34" s="707"/>
      <c r="RPD34" s="707"/>
      <c r="RPE34" s="707"/>
      <c r="RPF34" s="707"/>
      <c r="RPG34" s="707"/>
      <c r="RPH34" s="707"/>
      <c r="RPI34" s="707"/>
      <c r="RPJ34" s="707"/>
      <c r="RPK34" s="707"/>
      <c r="RPL34" s="707"/>
      <c r="RPM34" s="707"/>
      <c r="RPN34" s="707"/>
      <c r="RPO34" s="707"/>
      <c r="RPP34" s="707"/>
      <c r="RPQ34" s="707"/>
      <c r="RPR34" s="707"/>
      <c r="RPS34" s="707"/>
      <c r="RPT34" s="707"/>
      <c r="RPU34" s="707"/>
      <c r="RPV34" s="707"/>
      <c r="RPW34" s="707"/>
      <c r="RPX34" s="707"/>
      <c r="RPY34" s="707"/>
      <c r="RPZ34" s="707"/>
      <c r="RQA34" s="707"/>
      <c r="RQB34" s="707"/>
      <c r="RQC34" s="707"/>
      <c r="RQD34" s="707"/>
      <c r="RQE34" s="707"/>
      <c r="RQF34" s="707"/>
      <c r="RQG34" s="707"/>
      <c r="RQH34" s="707"/>
      <c r="RQI34" s="707"/>
      <c r="RQJ34" s="707"/>
      <c r="RQK34" s="707"/>
      <c r="RQL34" s="707"/>
      <c r="RQM34" s="707"/>
      <c r="RQN34" s="707"/>
      <c r="RQO34" s="707"/>
      <c r="RQP34" s="707"/>
      <c r="RQQ34" s="707"/>
      <c r="RQR34" s="707"/>
      <c r="RQS34" s="707"/>
      <c r="RQT34" s="707"/>
      <c r="RQU34" s="707"/>
      <c r="RQV34" s="707"/>
      <c r="RQW34" s="707"/>
      <c r="RQX34" s="707"/>
      <c r="RQY34" s="707"/>
      <c r="RQZ34" s="707"/>
      <c r="RRA34" s="707"/>
      <c r="RRB34" s="707"/>
      <c r="RRC34" s="707"/>
      <c r="RRD34" s="707"/>
      <c r="RRE34" s="707"/>
      <c r="RRF34" s="707"/>
      <c r="RRG34" s="707"/>
      <c r="RRH34" s="707"/>
      <c r="RRI34" s="707"/>
      <c r="RRJ34" s="707"/>
      <c r="RRK34" s="707"/>
      <c r="RRL34" s="707"/>
      <c r="RRM34" s="707"/>
      <c r="RRN34" s="707"/>
      <c r="RRO34" s="707"/>
      <c r="RRP34" s="707"/>
      <c r="RRQ34" s="707"/>
      <c r="RRR34" s="707"/>
      <c r="RRS34" s="707"/>
      <c r="RRT34" s="707"/>
      <c r="RRU34" s="707"/>
      <c r="RRV34" s="707"/>
      <c r="RRW34" s="707"/>
      <c r="RRX34" s="707"/>
      <c r="RRY34" s="707"/>
      <c r="RRZ34" s="707"/>
      <c r="RSA34" s="707"/>
      <c r="RSB34" s="707"/>
      <c r="RSC34" s="707"/>
      <c r="RSD34" s="707"/>
      <c r="RSE34" s="707"/>
      <c r="RSF34" s="707"/>
      <c r="RSG34" s="707"/>
      <c r="RSH34" s="707"/>
      <c r="RSI34" s="707"/>
      <c r="RSJ34" s="707"/>
      <c r="RSK34" s="707"/>
      <c r="RSL34" s="707"/>
      <c r="RSM34" s="707"/>
      <c r="RSN34" s="707"/>
      <c r="RSO34" s="707"/>
      <c r="RSP34" s="707"/>
      <c r="RSQ34" s="707"/>
      <c r="RSR34" s="707"/>
      <c r="RSS34" s="707"/>
      <c r="RST34" s="707"/>
      <c r="RSU34" s="707"/>
      <c r="RSV34" s="707"/>
      <c r="RSW34" s="707"/>
      <c r="RSX34" s="707"/>
      <c r="RSY34" s="707"/>
      <c r="RSZ34" s="707"/>
      <c r="RTA34" s="707"/>
      <c r="RTB34" s="707"/>
      <c r="RTC34" s="707"/>
      <c r="RTD34" s="707"/>
      <c r="RTE34" s="707"/>
      <c r="RTF34" s="707"/>
      <c r="RTG34" s="707"/>
      <c r="RTH34" s="707"/>
      <c r="RTI34" s="707"/>
      <c r="RTJ34" s="707"/>
      <c r="RTK34" s="707"/>
      <c r="RTL34" s="707"/>
      <c r="RTM34" s="707"/>
      <c r="RTN34" s="707"/>
      <c r="RTO34" s="707"/>
      <c r="RTP34" s="707"/>
      <c r="RTQ34" s="707"/>
      <c r="RTR34" s="707"/>
      <c r="RTS34" s="707"/>
      <c r="RTT34" s="707"/>
      <c r="RTU34" s="707"/>
      <c r="RTV34" s="707"/>
      <c r="RTW34" s="707"/>
      <c r="RTX34" s="707"/>
      <c r="RTY34" s="707"/>
      <c r="RTZ34" s="707"/>
      <c r="RUA34" s="707"/>
      <c r="RUB34" s="707"/>
      <c r="RUC34" s="707"/>
      <c r="RUD34" s="707"/>
      <c r="RUE34" s="707"/>
      <c r="RUF34" s="707"/>
      <c r="RUG34" s="707"/>
      <c r="RUH34" s="707"/>
      <c r="RUI34" s="707"/>
      <c r="RUJ34" s="707"/>
      <c r="RUK34" s="707"/>
      <c r="RUL34" s="707"/>
      <c r="RUM34" s="707"/>
      <c r="RUN34" s="707"/>
      <c r="RUO34" s="707"/>
      <c r="RUP34" s="707"/>
      <c r="RUQ34" s="707"/>
      <c r="RUR34" s="707"/>
      <c r="RUS34" s="707"/>
      <c r="RUT34" s="707"/>
      <c r="RUU34" s="707"/>
      <c r="RUV34" s="707"/>
      <c r="RUW34" s="707"/>
      <c r="RUX34" s="707"/>
      <c r="RUY34" s="707"/>
      <c r="RUZ34" s="707"/>
      <c r="RVA34" s="707"/>
      <c r="RVB34" s="707"/>
      <c r="RVC34" s="707"/>
      <c r="RVD34" s="707"/>
      <c r="RVE34" s="707"/>
      <c r="RVF34" s="707"/>
      <c r="RVG34" s="707"/>
      <c r="RVH34" s="707"/>
      <c r="RVI34" s="707"/>
      <c r="RVJ34" s="707"/>
      <c r="RVK34" s="707"/>
      <c r="RVL34" s="707"/>
      <c r="RVM34" s="707"/>
      <c r="RVN34" s="707"/>
      <c r="RVO34" s="707"/>
      <c r="RVP34" s="707"/>
      <c r="RVQ34" s="707"/>
      <c r="RVR34" s="707"/>
      <c r="RVS34" s="707"/>
      <c r="RVT34" s="707"/>
      <c r="RVU34" s="707"/>
      <c r="RVV34" s="707"/>
      <c r="RVW34" s="707"/>
      <c r="RVX34" s="707"/>
      <c r="RVY34" s="707"/>
      <c r="RVZ34" s="707"/>
      <c r="RWA34" s="707"/>
      <c r="RWB34" s="707"/>
      <c r="RWC34" s="707"/>
      <c r="RWD34" s="707"/>
      <c r="RWE34" s="707"/>
      <c r="RWF34" s="707"/>
      <c r="RWG34" s="707"/>
      <c r="RWH34" s="707"/>
      <c r="RWI34" s="707"/>
      <c r="RWJ34" s="707"/>
      <c r="RWK34" s="707"/>
      <c r="RWL34" s="707"/>
      <c r="RWM34" s="707"/>
      <c r="RWN34" s="707"/>
      <c r="RWO34" s="707"/>
      <c r="RWP34" s="707"/>
      <c r="RWQ34" s="707"/>
      <c r="RWR34" s="707"/>
      <c r="RWS34" s="707"/>
      <c r="RWT34" s="707"/>
      <c r="RWU34" s="707"/>
      <c r="RWV34" s="707"/>
      <c r="RWW34" s="707"/>
      <c r="RWX34" s="707"/>
      <c r="RWY34" s="707"/>
      <c r="RWZ34" s="707"/>
      <c r="RXA34" s="707"/>
      <c r="RXB34" s="707"/>
      <c r="RXC34" s="707"/>
      <c r="RXD34" s="707"/>
      <c r="RXE34" s="707"/>
      <c r="RXF34" s="707"/>
      <c r="RXG34" s="707"/>
      <c r="RXH34" s="707"/>
      <c r="RXI34" s="707"/>
      <c r="RXJ34" s="707"/>
      <c r="RXK34" s="707"/>
      <c r="RXL34" s="707"/>
      <c r="RXM34" s="707"/>
      <c r="RXN34" s="707"/>
      <c r="RXO34" s="707"/>
      <c r="RXP34" s="707"/>
      <c r="RXQ34" s="707"/>
      <c r="RXR34" s="707"/>
      <c r="RXS34" s="707"/>
      <c r="RXT34" s="707"/>
      <c r="RXU34" s="707"/>
      <c r="RXV34" s="707"/>
      <c r="RXW34" s="707"/>
      <c r="RXX34" s="707"/>
      <c r="RXY34" s="707"/>
      <c r="RXZ34" s="707"/>
      <c r="RYA34" s="707"/>
      <c r="RYB34" s="707"/>
      <c r="RYC34" s="707"/>
      <c r="RYD34" s="707"/>
      <c r="RYE34" s="707"/>
      <c r="RYF34" s="707"/>
      <c r="RYG34" s="707"/>
      <c r="RYH34" s="707"/>
      <c r="RYI34" s="707"/>
      <c r="RYJ34" s="707"/>
      <c r="RYK34" s="707"/>
      <c r="RYL34" s="707"/>
      <c r="RYM34" s="707"/>
      <c r="RYN34" s="707"/>
      <c r="RYO34" s="707"/>
      <c r="RYP34" s="707"/>
      <c r="RYQ34" s="707"/>
      <c r="RYR34" s="707"/>
      <c r="RYS34" s="707"/>
      <c r="RYT34" s="707"/>
      <c r="RYU34" s="707"/>
      <c r="RYV34" s="707"/>
      <c r="RYW34" s="707"/>
      <c r="RYX34" s="707"/>
      <c r="RYY34" s="707"/>
      <c r="RYZ34" s="707"/>
      <c r="RZA34" s="707"/>
      <c r="RZB34" s="707"/>
      <c r="RZC34" s="707"/>
      <c r="RZD34" s="707"/>
      <c r="RZE34" s="707"/>
      <c r="RZF34" s="707"/>
      <c r="RZG34" s="707"/>
      <c r="RZH34" s="707"/>
      <c r="RZI34" s="707"/>
      <c r="RZJ34" s="707"/>
      <c r="RZK34" s="707"/>
      <c r="RZL34" s="707"/>
      <c r="RZM34" s="707"/>
      <c r="RZN34" s="707"/>
      <c r="RZO34" s="707"/>
      <c r="RZP34" s="707"/>
      <c r="RZQ34" s="707"/>
      <c r="RZR34" s="707"/>
      <c r="RZS34" s="707"/>
      <c r="RZT34" s="707"/>
      <c r="RZU34" s="707"/>
      <c r="RZV34" s="707"/>
      <c r="RZW34" s="707"/>
      <c r="RZX34" s="707"/>
      <c r="RZY34" s="707"/>
      <c r="RZZ34" s="707"/>
      <c r="SAA34" s="707"/>
      <c r="SAB34" s="707"/>
      <c r="SAC34" s="707"/>
      <c r="SAD34" s="707"/>
      <c r="SAE34" s="707"/>
      <c r="SAF34" s="707"/>
      <c r="SAG34" s="707"/>
      <c r="SAH34" s="707"/>
      <c r="SAI34" s="707"/>
      <c r="SAJ34" s="707"/>
      <c r="SAK34" s="707"/>
      <c r="SAL34" s="707"/>
      <c r="SAM34" s="707"/>
      <c r="SAN34" s="707"/>
      <c r="SAO34" s="707"/>
      <c r="SAP34" s="707"/>
      <c r="SAQ34" s="707"/>
      <c r="SAR34" s="707"/>
      <c r="SAS34" s="707"/>
      <c r="SAT34" s="707"/>
      <c r="SAU34" s="707"/>
      <c r="SAV34" s="707"/>
      <c r="SAW34" s="707"/>
      <c r="SAX34" s="707"/>
      <c r="SAY34" s="707"/>
      <c r="SAZ34" s="707"/>
      <c r="SBA34" s="707"/>
      <c r="SBB34" s="707"/>
      <c r="SBC34" s="707"/>
      <c r="SBD34" s="707"/>
      <c r="SBE34" s="707"/>
      <c r="SBF34" s="707"/>
      <c r="SBG34" s="707"/>
      <c r="SBH34" s="707"/>
      <c r="SBI34" s="707"/>
      <c r="SBJ34" s="707"/>
      <c r="SBK34" s="707"/>
      <c r="SBL34" s="707"/>
      <c r="SBM34" s="707"/>
      <c r="SBN34" s="707"/>
      <c r="SBO34" s="707"/>
      <c r="SBP34" s="707"/>
      <c r="SBQ34" s="707"/>
      <c r="SBR34" s="707"/>
      <c r="SBS34" s="707"/>
      <c r="SBT34" s="707"/>
      <c r="SBU34" s="707"/>
      <c r="SBV34" s="707"/>
      <c r="SBW34" s="707"/>
      <c r="SBX34" s="707"/>
      <c r="SBY34" s="707"/>
      <c r="SBZ34" s="707"/>
      <c r="SCA34" s="707"/>
      <c r="SCB34" s="707"/>
      <c r="SCC34" s="707"/>
      <c r="SCD34" s="707"/>
      <c r="SCE34" s="707"/>
      <c r="SCF34" s="707"/>
      <c r="SCG34" s="707"/>
      <c r="SCH34" s="707"/>
      <c r="SCI34" s="707"/>
      <c r="SCJ34" s="707"/>
      <c r="SCK34" s="707"/>
      <c r="SCL34" s="707"/>
      <c r="SCM34" s="707"/>
      <c r="SCN34" s="707"/>
      <c r="SCO34" s="707"/>
      <c r="SCP34" s="707"/>
      <c r="SCQ34" s="707"/>
      <c r="SCR34" s="707"/>
      <c r="SCS34" s="707"/>
      <c r="SCT34" s="707"/>
      <c r="SCU34" s="707"/>
      <c r="SCV34" s="707"/>
      <c r="SCW34" s="707"/>
      <c r="SCX34" s="707"/>
      <c r="SCY34" s="707"/>
      <c r="SCZ34" s="707"/>
      <c r="SDA34" s="707"/>
      <c r="SDB34" s="707"/>
      <c r="SDC34" s="707"/>
      <c r="SDD34" s="707"/>
      <c r="SDE34" s="707"/>
      <c r="SDF34" s="707"/>
      <c r="SDG34" s="707"/>
      <c r="SDH34" s="707"/>
      <c r="SDI34" s="707"/>
      <c r="SDJ34" s="707"/>
      <c r="SDK34" s="707"/>
      <c r="SDL34" s="707"/>
      <c r="SDM34" s="707"/>
      <c r="SDN34" s="707"/>
      <c r="SDO34" s="707"/>
      <c r="SDP34" s="707"/>
      <c r="SDQ34" s="707"/>
      <c r="SDR34" s="707"/>
      <c r="SDS34" s="707"/>
      <c r="SDT34" s="707"/>
      <c r="SDU34" s="707"/>
      <c r="SDV34" s="707"/>
      <c r="SDW34" s="707"/>
      <c r="SDX34" s="707"/>
      <c r="SDY34" s="707"/>
      <c r="SDZ34" s="707"/>
      <c r="SEA34" s="707"/>
      <c r="SEB34" s="707"/>
      <c r="SEC34" s="707"/>
      <c r="SED34" s="707"/>
      <c r="SEE34" s="707"/>
      <c r="SEF34" s="707"/>
      <c r="SEG34" s="707"/>
      <c r="SEH34" s="707"/>
      <c r="SEI34" s="707"/>
      <c r="SEJ34" s="707"/>
      <c r="SEK34" s="707"/>
      <c r="SEL34" s="707"/>
      <c r="SEM34" s="707"/>
      <c r="SEN34" s="707"/>
      <c r="SEO34" s="707"/>
      <c r="SEP34" s="707"/>
      <c r="SEQ34" s="707"/>
      <c r="SER34" s="707"/>
      <c r="SES34" s="707"/>
      <c r="SET34" s="707"/>
      <c r="SEU34" s="707"/>
      <c r="SEV34" s="707"/>
      <c r="SEW34" s="707"/>
      <c r="SEX34" s="707"/>
      <c r="SEY34" s="707"/>
      <c r="SEZ34" s="707"/>
      <c r="SFA34" s="707"/>
      <c r="SFB34" s="707"/>
      <c r="SFC34" s="707"/>
      <c r="SFD34" s="707"/>
      <c r="SFE34" s="707"/>
      <c r="SFF34" s="707"/>
      <c r="SFG34" s="707"/>
      <c r="SFH34" s="707"/>
      <c r="SFI34" s="707"/>
      <c r="SFJ34" s="707"/>
      <c r="SFK34" s="707"/>
      <c r="SFL34" s="707"/>
      <c r="SFM34" s="707"/>
      <c r="SFN34" s="707"/>
      <c r="SFO34" s="707"/>
      <c r="SFP34" s="707"/>
      <c r="SFQ34" s="707"/>
      <c r="SFR34" s="707"/>
      <c r="SFS34" s="707"/>
      <c r="SFT34" s="707"/>
      <c r="SFU34" s="707"/>
      <c r="SFV34" s="707"/>
      <c r="SFW34" s="707"/>
      <c r="SFX34" s="707"/>
      <c r="SFY34" s="707"/>
      <c r="SFZ34" s="707"/>
      <c r="SGA34" s="707"/>
      <c r="SGB34" s="707"/>
      <c r="SGC34" s="707"/>
      <c r="SGD34" s="707"/>
      <c r="SGE34" s="707"/>
      <c r="SGF34" s="707"/>
      <c r="SGG34" s="707"/>
      <c r="SGH34" s="707"/>
      <c r="SGI34" s="707"/>
      <c r="SGJ34" s="707"/>
      <c r="SGK34" s="707"/>
      <c r="SGL34" s="707"/>
      <c r="SGM34" s="707"/>
      <c r="SGN34" s="707"/>
      <c r="SGO34" s="707"/>
      <c r="SGP34" s="707"/>
      <c r="SGQ34" s="707"/>
      <c r="SGR34" s="707"/>
      <c r="SGS34" s="707"/>
      <c r="SGT34" s="707"/>
      <c r="SGU34" s="707"/>
      <c r="SGV34" s="707"/>
      <c r="SGW34" s="707"/>
      <c r="SGX34" s="707"/>
      <c r="SGY34" s="707"/>
      <c r="SGZ34" s="707"/>
      <c r="SHA34" s="707"/>
      <c r="SHB34" s="707"/>
      <c r="SHC34" s="707"/>
      <c r="SHD34" s="707"/>
      <c r="SHE34" s="707"/>
      <c r="SHF34" s="707"/>
      <c r="SHG34" s="707"/>
      <c r="SHH34" s="707"/>
      <c r="SHI34" s="707"/>
      <c r="SHJ34" s="707"/>
      <c r="SHK34" s="707"/>
      <c r="SHL34" s="707"/>
      <c r="SHM34" s="707"/>
      <c r="SHN34" s="707"/>
      <c r="SHO34" s="707"/>
      <c r="SHP34" s="707"/>
      <c r="SHQ34" s="707"/>
      <c r="SHR34" s="707"/>
      <c r="SHS34" s="707"/>
      <c r="SHT34" s="707"/>
      <c r="SHU34" s="707"/>
      <c r="SHV34" s="707"/>
      <c r="SHW34" s="707"/>
      <c r="SHX34" s="707"/>
      <c r="SHY34" s="707"/>
      <c r="SHZ34" s="707"/>
      <c r="SIA34" s="707"/>
      <c r="SIB34" s="707"/>
      <c r="SIC34" s="707"/>
      <c r="SID34" s="707"/>
      <c r="SIE34" s="707"/>
      <c r="SIF34" s="707"/>
      <c r="SIG34" s="707"/>
      <c r="SIH34" s="707"/>
      <c r="SII34" s="707"/>
      <c r="SIJ34" s="707"/>
      <c r="SIK34" s="707"/>
      <c r="SIL34" s="707"/>
      <c r="SIM34" s="707"/>
      <c r="SIN34" s="707"/>
      <c r="SIO34" s="707"/>
      <c r="SIP34" s="707"/>
      <c r="SIQ34" s="707"/>
      <c r="SIR34" s="707"/>
      <c r="SIS34" s="707"/>
      <c r="SIT34" s="707"/>
      <c r="SIU34" s="707"/>
      <c r="SIV34" s="707"/>
      <c r="SIW34" s="707"/>
      <c r="SIX34" s="707"/>
      <c r="SIY34" s="707"/>
      <c r="SIZ34" s="707"/>
      <c r="SJA34" s="707"/>
      <c r="SJB34" s="707"/>
      <c r="SJC34" s="707"/>
      <c r="SJD34" s="707"/>
      <c r="SJE34" s="707"/>
      <c r="SJF34" s="707"/>
      <c r="SJG34" s="707"/>
      <c r="SJH34" s="707"/>
      <c r="SJI34" s="707"/>
      <c r="SJJ34" s="707"/>
      <c r="SJK34" s="707"/>
      <c r="SJL34" s="707"/>
      <c r="SJM34" s="707"/>
      <c r="SJN34" s="707"/>
      <c r="SJO34" s="707"/>
      <c r="SJP34" s="707"/>
      <c r="SJQ34" s="707"/>
      <c r="SJR34" s="707"/>
      <c r="SJS34" s="707"/>
      <c r="SJT34" s="707"/>
      <c r="SJU34" s="707"/>
      <c r="SJV34" s="707"/>
      <c r="SJW34" s="707"/>
      <c r="SJX34" s="707"/>
      <c r="SJY34" s="707"/>
      <c r="SJZ34" s="707"/>
      <c r="SKA34" s="707"/>
      <c r="SKB34" s="707"/>
      <c r="SKC34" s="707"/>
      <c r="SKD34" s="707"/>
      <c r="SKE34" s="707"/>
      <c r="SKF34" s="707"/>
      <c r="SKG34" s="707"/>
      <c r="SKH34" s="707"/>
      <c r="SKI34" s="707"/>
      <c r="SKJ34" s="707"/>
      <c r="SKK34" s="707"/>
      <c r="SKL34" s="707"/>
      <c r="SKM34" s="707"/>
      <c r="SKN34" s="707"/>
      <c r="SKO34" s="707"/>
      <c r="SKP34" s="707"/>
      <c r="SKQ34" s="707"/>
      <c r="SKR34" s="707"/>
      <c r="SKS34" s="707"/>
      <c r="SKT34" s="707"/>
      <c r="SKU34" s="707"/>
      <c r="SKV34" s="707"/>
      <c r="SKW34" s="707"/>
      <c r="SKX34" s="707"/>
      <c r="SKY34" s="707"/>
      <c r="SKZ34" s="707"/>
      <c r="SLA34" s="707"/>
      <c r="SLB34" s="707"/>
      <c r="SLC34" s="707"/>
      <c r="SLD34" s="707"/>
      <c r="SLE34" s="707"/>
      <c r="SLF34" s="707"/>
      <c r="SLG34" s="707"/>
      <c r="SLH34" s="707"/>
      <c r="SLI34" s="707"/>
      <c r="SLJ34" s="707"/>
      <c r="SLK34" s="707"/>
      <c r="SLL34" s="707"/>
      <c r="SLM34" s="707"/>
      <c r="SLN34" s="707"/>
      <c r="SLO34" s="707"/>
      <c r="SLP34" s="707"/>
      <c r="SLQ34" s="707"/>
      <c r="SLR34" s="707"/>
      <c r="SLS34" s="707"/>
      <c r="SLT34" s="707"/>
      <c r="SLU34" s="707"/>
      <c r="SLV34" s="707"/>
      <c r="SLW34" s="707"/>
      <c r="SLX34" s="707"/>
      <c r="SLY34" s="707"/>
      <c r="SLZ34" s="707"/>
      <c r="SMA34" s="707"/>
      <c r="SMB34" s="707"/>
      <c r="SMC34" s="707"/>
      <c r="SMD34" s="707"/>
      <c r="SME34" s="707"/>
      <c r="SMF34" s="707"/>
      <c r="SMG34" s="707"/>
      <c r="SMH34" s="707"/>
      <c r="SMI34" s="707"/>
      <c r="SMJ34" s="707"/>
      <c r="SMK34" s="707"/>
      <c r="SML34" s="707"/>
      <c r="SMM34" s="707"/>
      <c r="SMN34" s="707"/>
      <c r="SMO34" s="707"/>
      <c r="SMP34" s="707"/>
      <c r="SMQ34" s="707"/>
      <c r="SMR34" s="707"/>
      <c r="SMS34" s="707"/>
      <c r="SMT34" s="707"/>
      <c r="SMU34" s="707"/>
      <c r="SMV34" s="707"/>
      <c r="SMW34" s="707"/>
      <c r="SMX34" s="707"/>
      <c r="SMY34" s="707"/>
      <c r="SMZ34" s="707"/>
      <c r="SNA34" s="707"/>
      <c r="SNB34" s="707"/>
      <c r="SNC34" s="707"/>
      <c r="SND34" s="707"/>
      <c r="SNE34" s="707"/>
      <c r="SNF34" s="707"/>
      <c r="SNG34" s="707"/>
      <c r="SNH34" s="707"/>
      <c r="SNI34" s="707"/>
      <c r="SNJ34" s="707"/>
      <c r="SNK34" s="707"/>
      <c r="SNL34" s="707"/>
      <c r="SNM34" s="707"/>
      <c r="SNN34" s="707"/>
      <c r="SNO34" s="707"/>
      <c r="SNP34" s="707"/>
      <c r="SNQ34" s="707"/>
      <c r="SNR34" s="707"/>
      <c r="SNS34" s="707"/>
      <c r="SNT34" s="707"/>
      <c r="SNU34" s="707"/>
      <c r="SNV34" s="707"/>
      <c r="SNW34" s="707"/>
      <c r="SNX34" s="707"/>
      <c r="SNY34" s="707"/>
      <c r="SNZ34" s="707"/>
      <c r="SOA34" s="707"/>
      <c r="SOB34" s="707"/>
      <c r="SOC34" s="707"/>
      <c r="SOD34" s="707"/>
      <c r="SOE34" s="707"/>
      <c r="SOF34" s="707"/>
      <c r="SOG34" s="707"/>
      <c r="SOH34" s="707"/>
      <c r="SOI34" s="707"/>
      <c r="SOJ34" s="707"/>
      <c r="SOK34" s="707"/>
      <c r="SOL34" s="707"/>
      <c r="SOM34" s="707"/>
      <c r="SON34" s="707"/>
      <c r="SOO34" s="707"/>
      <c r="SOP34" s="707"/>
      <c r="SOQ34" s="707"/>
      <c r="SOR34" s="707"/>
      <c r="SOS34" s="707"/>
      <c r="SOT34" s="707"/>
      <c r="SOU34" s="707"/>
      <c r="SOV34" s="707"/>
      <c r="SOW34" s="707"/>
      <c r="SOX34" s="707"/>
      <c r="SOY34" s="707"/>
      <c r="SOZ34" s="707"/>
      <c r="SPA34" s="707"/>
      <c r="SPB34" s="707"/>
      <c r="SPC34" s="707"/>
      <c r="SPD34" s="707"/>
      <c r="SPE34" s="707"/>
      <c r="SPF34" s="707"/>
      <c r="SPG34" s="707"/>
      <c r="SPH34" s="707"/>
      <c r="SPI34" s="707"/>
      <c r="SPJ34" s="707"/>
      <c r="SPK34" s="707"/>
      <c r="SPL34" s="707"/>
      <c r="SPM34" s="707"/>
      <c r="SPN34" s="707"/>
      <c r="SPO34" s="707"/>
      <c r="SPP34" s="707"/>
      <c r="SPQ34" s="707"/>
      <c r="SPR34" s="707"/>
      <c r="SPS34" s="707"/>
      <c r="SPT34" s="707"/>
      <c r="SPU34" s="707"/>
      <c r="SPV34" s="707"/>
      <c r="SPW34" s="707"/>
      <c r="SPX34" s="707"/>
      <c r="SPY34" s="707"/>
      <c r="SPZ34" s="707"/>
      <c r="SQA34" s="707"/>
      <c r="SQB34" s="707"/>
      <c r="SQC34" s="707"/>
      <c r="SQD34" s="707"/>
      <c r="SQE34" s="707"/>
      <c r="SQF34" s="707"/>
      <c r="SQG34" s="707"/>
      <c r="SQH34" s="707"/>
      <c r="SQI34" s="707"/>
      <c r="SQJ34" s="707"/>
      <c r="SQK34" s="707"/>
      <c r="SQL34" s="707"/>
      <c r="SQM34" s="707"/>
      <c r="SQN34" s="707"/>
      <c r="SQO34" s="707"/>
      <c r="SQP34" s="707"/>
      <c r="SQQ34" s="707"/>
      <c r="SQR34" s="707"/>
      <c r="SQS34" s="707"/>
      <c r="SQT34" s="707"/>
      <c r="SQU34" s="707"/>
      <c r="SQV34" s="707"/>
      <c r="SQW34" s="707"/>
      <c r="SQX34" s="707"/>
      <c r="SQY34" s="707"/>
      <c r="SQZ34" s="707"/>
      <c r="SRA34" s="707"/>
      <c r="SRB34" s="707"/>
      <c r="SRC34" s="707"/>
      <c r="SRD34" s="707"/>
      <c r="SRE34" s="707"/>
      <c r="SRF34" s="707"/>
      <c r="SRG34" s="707"/>
      <c r="SRH34" s="707"/>
      <c r="SRI34" s="707"/>
      <c r="SRJ34" s="707"/>
      <c r="SRK34" s="707"/>
      <c r="SRL34" s="707"/>
      <c r="SRM34" s="707"/>
      <c r="SRN34" s="707"/>
      <c r="SRO34" s="707"/>
      <c r="SRP34" s="707"/>
      <c r="SRQ34" s="707"/>
      <c r="SRR34" s="707"/>
      <c r="SRS34" s="707"/>
      <c r="SRT34" s="707"/>
      <c r="SRU34" s="707"/>
      <c r="SRV34" s="707"/>
      <c r="SRW34" s="707"/>
      <c r="SRX34" s="707"/>
      <c r="SRY34" s="707"/>
      <c r="SRZ34" s="707"/>
      <c r="SSA34" s="707"/>
      <c r="SSB34" s="707"/>
      <c r="SSC34" s="707"/>
      <c r="SSD34" s="707"/>
      <c r="SSE34" s="707"/>
      <c r="SSF34" s="707"/>
      <c r="SSG34" s="707"/>
      <c r="SSH34" s="707"/>
      <c r="SSI34" s="707"/>
      <c r="SSJ34" s="707"/>
      <c r="SSK34" s="707"/>
      <c r="SSL34" s="707"/>
      <c r="SSM34" s="707"/>
      <c r="SSN34" s="707"/>
      <c r="SSO34" s="707"/>
      <c r="SSP34" s="707"/>
      <c r="SSQ34" s="707"/>
      <c r="SSR34" s="707"/>
      <c r="SSS34" s="707"/>
      <c r="SST34" s="707"/>
      <c r="SSU34" s="707"/>
      <c r="SSV34" s="707"/>
      <c r="SSW34" s="707"/>
      <c r="SSX34" s="707"/>
      <c r="SSY34" s="707"/>
      <c r="SSZ34" s="707"/>
      <c r="STA34" s="707"/>
      <c r="STB34" s="707"/>
      <c r="STC34" s="707"/>
      <c r="STD34" s="707"/>
      <c r="STE34" s="707"/>
      <c r="STF34" s="707"/>
      <c r="STG34" s="707"/>
      <c r="STH34" s="707"/>
      <c r="STI34" s="707"/>
      <c r="STJ34" s="707"/>
      <c r="STK34" s="707"/>
      <c r="STL34" s="707"/>
      <c r="STM34" s="707"/>
      <c r="STN34" s="707"/>
      <c r="STO34" s="707"/>
      <c r="STP34" s="707"/>
      <c r="STQ34" s="707"/>
      <c r="STR34" s="707"/>
      <c r="STS34" s="707"/>
      <c r="STT34" s="707"/>
      <c r="STU34" s="707"/>
      <c r="STV34" s="707"/>
      <c r="STW34" s="707"/>
      <c r="STX34" s="707"/>
      <c r="STY34" s="707"/>
      <c r="STZ34" s="707"/>
      <c r="SUA34" s="707"/>
      <c r="SUB34" s="707"/>
      <c r="SUC34" s="707"/>
      <c r="SUD34" s="707"/>
      <c r="SUE34" s="707"/>
      <c r="SUF34" s="707"/>
      <c r="SUG34" s="707"/>
      <c r="SUH34" s="707"/>
      <c r="SUI34" s="707"/>
      <c r="SUJ34" s="707"/>
      <c r="SUK34" s="707"/>
      <c r="SUL34" s="707"/>
      <c r="SUM34" s="707"/>
      <c r="SUN34" s="707"/>
      <c r="SUO34" s="707"/>
      <c r="SUP34" s="707"/>
      <c r="SUQ34" s="707"/>
      <c r="SUR34" s="707"/>
      <c r="SUS34" s="707"/>
      <c r="SUT34" s="707"/>
      <c r="SUU34" s="707"/>
      <c r="SUV34" s="707"/>
      <c r="SUW34" s="707"/>
      <c r="SUX34" s="707"/>
      <c r="SUY34" s="707"/>
      <c r="SUZ34" s="707"/>
      <c r="SVA34" s="707"/>
      <c r="SVB34" s="707"/>
      <c r="SVC34" s="707"/>
      <c r="SVD34" s="707"/>
      <c r="SVE34" s="707"/>
      <c r="SVF34" s="707"/>
      <c r="SVG34" s="707"/>
      <c r="SVH34" s="707"/>
      <c r="SVI34" s="707"/>
      <c r="SVJ34" s="707"/>
      <c r="SVK34" s="707"/>
      <c r="SVL34" s="707"/>
      <c r="SVM34" s="707"/>
      <c r="SVN34" s="707"/>
      <c r="SVO34" s="707"/>
      <c r="SVP34" s="707"/>
      <c r="SVQ34" s="707"/>
      <c r="SVR34" s="707"/>
      <c r="SVS34" s="707"/>
      <c r="SVT34" s="707"/>
      <c r="SVU34" s="707"/>
      <c r="SVV34" s="707"/>
      <c r="SVW34" s="707"/>
      <c r="SVX34" s="707"/>
      <c r="SVY34" s="707"/>
      <c r="SVZ34" s="707"/>
      <c r="SWA34" s="707"/>
      <c r="SWB34" s="707"/>
      <c r="SWC34" s="707"/>
      <c r="SWD34" s="707"/>
      <c r="SWE34" s="707"/>
      <c r="SWF34" s="707"/>
      <c r="SWG34" s="707"/>
      <c r="SWH34" s="707"/>
      <c r="SWI34" s="707"/>
      <c r="SWJ34" s="707"/>
      <c r="SWK34" s="707"/>
      <c r="SWL34" s="707"/>
      <c r="SWM34" s="707"/>
      <c r="SWN34" s="707"/>
      <c r="SWO34" s="707"/>
      <c r="SWP34" s="707"/>
      <c r="SWQ34" s="707"/>
      <c r="SWR34" s="707"/>
      <c r="SWS34" s="707"/>
      <c r="SWT34" s="707"/>
      <c r="SWU34" s="707"/>
      <c r="SWV34" s="707"/>
      <c r="SWW34" s="707"/>
      <c r="SWX34" s="707"/>
      <c r="SWY34" s="707"/>
      <c r="SWZ34" s="707"/>
      <c r="SXA34" s="707"/>
      <c r="SXB34" s="707"/>
      <c r="SXC34" s="707"/>
      <c r="SXD34" s="707"/>
      <c r="SXE34" s="707"/>
      <c r="SXF34" s="707"/>
      <c r="SXG34" s="707"/>
      <c r="SXH34" s="707"/>
      <c r="SXI34" s="707"/>
      <c r="SXJ34" s="707"/>
      <c r="SXK34" s="707"/>
      <c r="SXL34" s="707"/>
      <c r="SXM34" s="707"/>
      <c r="SXN34" s="707"/>
      <c r="SXO34" s="707"/>
      <c r="SXP34" s="707"/>
      <c r="SXQ34" s="707"/>
      <c r="SXR34" s="707"/>
      <c r="SXS34" s="707"/>
      <c r="SXT34" s="707"/>
      <c r="SXU34" s="707"/>
      <c r="SXV34" s="707"/>
      <c r="SXW34" s="707"/>
      <c r="SXX34" s="707"/>
      <c r="SXY34" s="707"/>
      <c r="SXZ34" s="707"/>
      <c r="SYA34" s="707"/>
      <c r="SYB34" s="707"/>
      <c r="SYC34" s="707"/>
      <c r="SYD34" s="707"/>
      <c r="SYE34" s="707"/>
      <c r="SYF34" s="707"/>
      <c r="SYG34" s="707"/>
      <c r="SYH34" s="707"/>
      <c r="SYI34" s="707"/>
      <c r="SYJ34" s="707"/>
      <c r="SYK34" s="707"/>
      <c r="SYL34" s="707"/>
      <c r="SYM34" s="707"/>
      <c r="SYN34" s="707"/>
      <c r="SYO34" s="707"/>
      <c r="SYP34" s="707"/>
      <c r="SYQ34" s="707"/>
      <c r="SYR34" s="707"/>
      <c r="SYS34" s="707"/>
      <c r="SYT34" s="707"/>
      <c r="SYU34" s="707"/>
      <c r="SYV34" s="707"/>
      <c r="SYW34" s="707"/>
      <c r="SYX34" s="707"/>
      <c r="SYY34" s="707"/>
      <c r="SYZ34" s="707"/>
      <c r="SZA34" s="707"/>
      <c r="SZB34" s="707"/>
      <c r="SZC34" s="707"/>
      <c r="SZD34" s="707"/>
      <c r="SZE34" s="707"/>
      <c r="SZF34" s="707"/>
      <c r="SZG34" s="707"/>
      <c r="SZH34" s="707"/>
      <c r="SZI34" s="707"/>
      <c r="SZJ34" s="707"/>
      <c r="SZK34" s="707"/>
      <c r="SZL34" s="707"/>
      <c r="SZM34" s="707"/>
      <c r="SZN34" s="707"/>
      <c r="SZO34" s="707"/>
      <c r="SZP34" s="707"/>
      <c r="SZQ34" s="707"/>
      <c r="SZR34" s="707"/>
      <c r="SZS34" s="707"/>
      <c r="SZT34" s="707"/>
      <c r="SZU34" s="707"/>
      <c r="SZV34" s="707"/>
      <c r="SZW34" s="707"/>
      <c r="SZX34" s="707"/>
      <c r="SZY34" s="707"/>
      <c r="SZZ34" s="707"/>
      <c r="TAA34" s="707"/>
      <c r="TAB34" s="707"/>
      <c r="TAC34" s="707"/>
      <c r="TAD34" s="707"/>
      <c r="TAE34" s="707"/>
      <c r="TAF34" s="707"/>
      <c r="TAG34" s="707"/>
      <c r="TAH34" s="707"/>
      <c r="TAI34" s="707"/>
      <c r="TAJ34" s="707"/>
      <c r="TAK34" s="707"/>
      <c r="TAL34" s="707"/>
      <c r="TAM34" s="707"/>
      <c r="TAN34" s="707"/>
      <c r="TAO34" s="707"/>
      <c r="TAP34" s="707"/>
      <c r="TAQ34" s="707"/>
      <c r="TAR34" s="707"/>
      <c r="TAS34" s="707"/>
      <c r="TAT34" s="707"/>
      <c r="TAU34" s="707"/>
      <c r="TAV34" s="707"/>
      <c r="TAW34" s="707"/>
      <c r="TAX34" s="707"/>
      <c r="TAY34" s="707"/>
      <c r="TAZ34" s="707"/>
      <c r="TBA34" s="707"/>
      <c r="TBB34" s="707"/>
      <c r="TBC34" s="707"/>
      <c r="TBD34" s="707"/>
      <c r="TBE34" s="707"/>
      <c r="TBF34" s="707"/>
      <c r="TBG34" s="707"/>
      <c r="TBH34" s="707"/>
      <c r="TBI34" s="707"/>
      <c r="TBJ34" s="707"/>
      <c r="TBK34" s="707"/>
      <c r="TBL34" s="707"/>
      <c r="TBM34" s="707"/>
      <c r="TBN34" s="707"/>
      <c r="TBO34" s="707"/>
      <c r="TBP34" s="707"/>
      <c r="TBQ34" s="707"/>
      <c r="TBR34" s="707"/>
      <c r="TBS34" s="707"/>
      <c r="TBT34" s="707"/>
      <c r="TBU34" s="707"/>
      <c r="TBV34" s="707"/>
      <c r="TBW34" s="707"/>
      <c r="TBX34" s="707"/>
      <c r="TBY34" s="707"/>
      <c r="TBZ34" s="707"/>
      <c r="TCA34" s="707"/>
      <c r="TCB34" s="707"/>
      <c r="TCC34" s="707"/>
      <c r="TCD34" s="707"/>
      <c r="TCE34" s="707"/>
      <c r="TCF34" s="707"/>
      <c r="TCG34" s="707"/>
      <c r="TCH34" s="707"/>
      <c r="TCI34" s="707"/>
      <c r="TCJ34" s="707"/>
      <c r="TCK34" s="707"/>
      <c r="TCL34" s="707"/>
      <c r="TCM34" s="707"/>
      <c r="TCN34" s="707"/>
      <c r="TCO34" s="707"/>
      <c r="TCP34" s="707"/>
      <c r="TCQ34" s="707"/>
      <c r="TCR34" s="707"/>
      <c r="TCS34" s="707"/>
      <c r="TCT34" s="707"/>
      <c r="TCU34" s="707"/>
      <c r="TCV34" s="707"/>
      <c r="TCW34" s="707"/>
      <c r="TCX34" s="707"/>
      <c r="TCY34" s="707"/>
      <c r="TCZ34" s="707"/>
      <c r="TDA34" s="707"/>
      <c r="TDB34" s="707"/>
      <c r="TDC34" s="707"/>
      <c r="TDD34" s="707"/>
      <c r="TDE34" s="707"/>
      <c r="TDF34" s="707"/>
      <c r="TDG34" s="707"/>
      <c r="TDH34" s="707"/>
      <c r="TDI34" s="707"/>
      <c r="TDJ34" s="707"/>
      <c r="TDK34" s="707"/>
      <c r="TDL34" s="707"/>
      <c r="TDM34" s="707"/>
      <c r="TDN34" s="707"/>
      <c r="TDO34" s="707"/>
      <c r="TDP34" s="707"/>
      <c r="TDQ34" s="707"/>
      <c r="TDR34" s="707"/>
      <c r="TDS34" s="707"/>
      <c r="TDT34" s="707"/>
      <c r="TDU34" s="707"/>
      <c r="TDV34" s="707"/>
      <c r="TDW34" s="707"/>
      <c r="TDX34" s="707"/>
      <c r="TDY34" s="707"/>
      <c r="TDZ34" s="707"/>
      <c r="TEA34" s="707"/>
      <c r="TEB34" s="707"/>
      <c r="TEC34" s="707"/>
      <c r="TED34" s="707"/>
      <c r="TEE34" s="707"/>
      <c r="TEF34" s="707"/>
      <c r="TEG34" s="707"/>
      <c r="TEH34" s="707"/>
      <c r="TEI34" s="707"/>
      <c r="TEJ34" s="707"/>
      <c r="TEK34" s="707"/>
      <c r="TEL34" s="707"/>
      <c r="TEM34" s="707"/>
      <c r="TEN34" s="707"/>
      <c r="TEO34" s="707"/>
      <c r="TEP34" s="707"/>
      <c r="TEQ34" s="707"/>
      <c r="TER34" s="707"/>
      <c r="TES34" s="707"/>
      <c r="TET34" s="707"/>
      <c r="TEU34" s="707"/>
      <c r="TEV34" s="707"/>
      <c r="TEW34" s="707"/>
      <c r="TEX34" s="707"/>
      <c r="TEY34" s="707"/>
      <c r="TEZ34" s="707"/>
      <c r="TFA34" s="707"/>
      <c r="TFB34" s="707"/>
      <c r="TFC34" s="707"/>
      <c r="TFD34" s="707"/>
      <c r="TFE34" s="707"/>
      <c r="TFF34" s="707"/>
      <c r="TFG34" s="707"/>
      <c r="TFH34" s="707"/>
      <c r="TFI34" s="707"/>
      <c r="TFJ34" s="707"/>
      <c r="TFK34" s="707"/>
      <c r="TFL34" s="707"/>
      <c r="TFM34" s="707"/>
      <c r="TFN34" s="707"/>
      <c r="TFO34" s="707"/>
      <c r="TFP34" s="707"/>
      <c r="TFQ34" s="707"/>
      <c r="TFR34" s="707"/>
      <c r="TFS34" s="707"/>
      <c r="TFT34" s="707"/>
      <c r="TFU34" s="707"/>
      <c r="TFV34" s="707"/>
      <c r="TFW34" s="707"/>
      <c r="TFX34" s="707"/>
      <c r="TFY34" s="707"/>
      <c r="TFZ34" s="707"/>
      <c r="TGA34" s="707"/>
      <c r="TGB34" s="707"/>
      <c r="TGC34" s="707"/>
      <c r="TGD34" s="707"/>
      <c r="TGE34" s="707"/>
      <c r="TGF34" s="707"/>
      <c r="TGG34" s="707"/>
      <c r="TGH34" s="707"/>
      <c r="TGI34" s="707"/>
      <c r="TGJ34" s="707"/>
      <c r="TGK34" s="707"/>
      <c r="TGL34" s="707"/>
      <c r="TGM34" s="707"/>
      <c r="TGN34" s="707"/>
      <c r="TGO34" s="707"/>
      <c r="TGP34" s="707"/>
      <c r="TGQ34" s="707"/>
      <c r="TGR34" s="707"/>
      <c r="TGS34" s="707"/>
      <c r="TGT34" s="707"/>
      <c r="TGU34" s="707"/>
      <c r="TGV34" s="707"/>
      <c r="TGW34" s="707"/>
      <c r="TGX34" s="707"/>
      <c r="TGY34" s="707"/>
      <c r="TGZ34" s="707"/>
      <c r="THA34" s="707"/>
      <c r="THB34" s="707"/>
      <c r="THC34" s="707"/>
      <c r="THD34" s="707"/>
      <c r="THE34" s="707"/>
      <c r="THF34" s="707"/>
      <c r="THG34" s="707"/>
      <c r="THH34" s="707"/>
      <c r="THI34" s="707"/>
      <c r="THJ34" s="707"/>
      <c r="THK34" s="707"/>
      <c r="THL34" s="707"/>
      <c r="THM34" s="707"/>
      <c r="THN34" s="707"/>
      <c r="THO34" s="707"/>
      <c r="THP34" s="707"/>
      <c r="THQ34" s="707"/>
      <c r="THR34" s="707"/>
      <c r="THS34" s="707"/>
      <c r="THT34" s="707"/>
      <c r="THU34" s="707"/>
      <c r="THV34" s="707"/>
      <c r="THW34" s="707"/>
      <c r="THX34" s="707"/>
      <c r="THY34" s="707"/>
      <c r="THZ34" s="707"/>
      <c r="TIA34" s="707"/>
      <c r="TIB34" s="707"/>
      <c r="TIC34" s="707"/>
      <c r="TID34" s="707"/>
      <c r="TIE34" s="707"/>
      <c r="TIF34" s="707"/>
      <c r="TIG34" s="707"/>
      <c r="TIH34" s="707"/>
      <c r="TII34" s="707"/>
      <c r="TIJ34" s="707"/>
      <c r="TIK34" s="707"/>
      <c r="TIL34" s="707"/>
      <c r="TIM34" s="707"/>
      <c r="TIN34" s="707"/>
      <c r="TIO34" s="707"/>
      <c r="TIP34" s="707"/>
      <c r="TIQ34" s="707"/>
      <c r="TIR34" s="707"/>
      <c r="TIS34" s="707"/>
      <c r="TIT34" s="707"/>
      <c r="TIU34" s="707"/>
      <c r="TIV34" s="707"/>
      <c r="TIW34" s="707"/>
      <c r="TIX34" s="707"/>
      <c r="TIY34" s="707"/>
      <c r="TIZ34" s="707"/>
      <c r="TJA34" s="707"/>
      <c r="TJB34" s="707"/>
      <c r="TJC34" s="707"/>
      <c r="TJD34" s="707"/>
      <c r="TJE34" s="707"/>
      <c r="TJF34" s="707"/>
      <c r="TJG34" s="707"/>
      <c r="TJH34" s="707"/>
      <c r="TJI34" s="707"/>
      <c r="TJJ34" s="707"/>
      <c r="TJK34" s="707"/>
      <c r="TJL34" s="707"/>
      <c r="TJM34" s="707"/>
      <c r="TJN34" s="707"/>
      <c r="TJO34" s="707"/>
      <c r="TJP34" s="707"/>
      <c r="TJQ34" s="707"/>
      <c r="TJR34" s="707"/>
      <c r="TJS34" s="707"/>
      <c r="TJT34" s="707"/>
      <c r="TJU34" s="707"/>
      <c r="TJV34" s="707"/>
      <c r="TJW34" s="707"/>
      <c r="TJX34" s="707"/>
      <c r="TJY34" s="707"/>
      <c r="TJZ34" s="707"/>
      <c r="TKA34" s="707"/>
      <c r="TKB34" s="707"/>
      <c r="TKC34" s="707"/>
      <c r="TKD34" s="707"/>
      <c r="TKE34" s="707"/>
      <c r="TKF34" s="707"/>
      <c r="TKG34" s="707"/>
      <c r="TKH34" s="707"/>
      <c r="TKI34" s="707"/>
      <c r="TKJ34" s="707"/>
      <c r="TKK34" s="707"/>
      <c r="TKL34" s="707"/>
      <c r="TKM34" s="707"/>
      <c r="TKN34" s="707"/>
      <c r="TKO34" s="707"/>
      <c r="TKP34" s="707"/>
      <c r="TKQ34" s="707"/>
      <c r="TKR34" s="707"/>
      <c r="TKS34" s="707"/>
      <c r="TKT34" s="707"/>
      <c r="TKU34" s="707"/>
      <c r="TKV34" s="707"/>
      <c r="TKW34" s="707"/>
      <c r="TKX34" s="707"/>
      <c r="TKY34" s="707"/>
      <c r="TKZ34" s="707"/>
      <c r="TLA34" s="707"/>
      <c r="TLB34" s="707"/>
      <c r="TLC34" s="707"/>
      <c r="TLD34" s="707"/>
      <c r="TLE34" s="707"/>
      <c r="TLF34" s="707"/>
      <c r="TLG34" s="707"/>
      <c r="TLH34" s="707"/>
      <c r="TLI34" s="707"/>
      <c r="TLJ34" s="707"/>
      <c r="TLK34" s="707"/>
      <c r="TLL34" s="707"/>
      <c r="TLM34" s="707"/>
      <c r="TLN34" s="707"/>
      <c r="TLO34" s="707"/>
      <c r="TLP34" s="707"/>
      <c r="TLQ34" s="707"/>
      <c r="TLR34" s="707"/>
      <c r="TLS34" s="707"/>
      <c r="TLT34" s="707"/>
      <c r="TLU34" s="707"/>
      <c r="TLV34" s="707"/>
      <c r="TLW34" s="707"/>
      <c r="TLX34" s="707"/>
      <c r="TLY34" s="707"/>
      <c r="TLZ34" s="707"/>
      <c r="TMA34" s="707"/>
      <c r="TMB34" s="707"/>
      <c r="TMC34" s="707"/>
      <c r="TMD34" s="707"/>
      <c r="TME34" s="707"/>
      <c r="TMF34" s="707"/>
      <c r="TMG34" s="707"/>
      <c r="TMH34" s="707"/>
      <c r="TMI34" s="707"/>
      <c r="TMJ34" s="707"/>
      <c r="TMK34" s="707"/>
      <c r="TML34" s="707"/>
      <c r="TMM34" s="707"/>
      <c r="TMN34" s="707"/>
      <c r="TMO34" s="707"/>
      <c r="TMP34" s="707"/>
      <c r="TMQ34" s="707"/>
      <c r="TMR34" s="707"/>
      <c r="TMS34" s="707"/>
      <c r="TMT34" s="707"/>
      <c r="TMU34" s="707"/>
      <c r="TMV34" s="707"/>
      <c r="TMW34" s="707"/>
      <c r="TMX34" s="707"/>
      <c r="TMY34" s="707"/>
      <c r="TMZ34" s="707"/>
      <c r="TNA34" s="707"/>
      <c r="TNB34" s="707"/>
      <c r="TNC34" s="707"/>
      <c r="TND34" s="707"/>
      <c r="TNE34" s="707"/>
      <c r="TNF34" s="707"/>
      <c r="TNG34" s="707"/>
      <c r="TNH34" s="707"/>
      <c r="TNI34" s="707"/>
      <c r="TNJ34" s="707"/>
      <c r="TNK34" s="707"/>
      <c r="TNL34" s="707"/>
      <c r="TNM34" s="707"/>
      <c r="TNN34" s="707"/>
      <c r="TNO34" s="707"/>
      <c r="TNP34" s="707"/>
      <c r="TNQ34" s="707"/>
      <c r="TNR34" s="707"/>
      <c r="TNS34" s="707"/>
      <c r="TNT34" s="707"/>
      <c r="TNU34" s="707"/>
      <c r="TNV34" s="707"/>
      <c r="TNW34" s="707"/>
      <c r="TNX34" s="707"/>
      <c r="TNY34" s="707"/>
      <c r="TNZ34" s="707"/>
      <c r="TOA34" s="707"/>
      <c r="TOB34" s="707"/>
      <c r="TOC34" s="707"/>
      <c r="TOD34" s="707"/>
      <c r="TOE34" s="707"/>
      <c r="TOF34" s="707"/>
      <c r="TOG34" s="707"/>
      <c r="TOH34" s="707"/>
      <c r="TOI34" s="707"/>
      <c r="TOJ34" s="707"/>
      <c r="TOK34" s="707"/>
      <c r="TOL34" s="707"/>
      <c r="TOM34" s="707"/>
      <c r="TON34" s="707"/>
      <c r="TOO34" s="707"/>
      <c r="TOP34" s="707"/>
      <c r="TOQ34" s="707"/>
      <c r="TOR34" s="707"/>
      <c r="TOS34" s="707"/>
      <c r="TOT34" s="707"/>
      <c r="TOU34" s="707"/>
      <c r="TOV34" s="707"/>
      <c r="TOW34" s="707"/>
      <c r="TOX34" s="707"/>
      <c r="TOY34" s="707"/>
      <c r="TOZ34" s="707"/>
      <c r="TPA34" s="707"/>
      <c r="TPB34" s="707"/>
      <c r="TPC34" s="707"/>
      <c r="TPD34" s="707"/>
      <c r="TPE34" s="707"/>
      <c r="TPF34" s="707"/>
      <c r="TPG34" s="707"/>
      <c r="TPH34" s="707"/>
      <c r="TPI34" s="707"/>
      <c r="TPJ34" s="707"/>
      <c r="TPK34" s="707"/>
      <c r="TPL34" s="707"/>
      <c r="TPM34" s="707"/>
      <c r="TPN34" s="707"/>
      <c r="TPO34" s="707"/>
      <c r="TPP34" s="707"/>
      <c r="TPQ34" s="707"/>
      <c r="TPR34" s="707"/>
      <c r="TPS34" s="707"/>
      <c r="TPT34" s="707"/>
      <c r="TPU34" s="707"/>
      <c r="TPV34" s="707"/>
      <c r="TPW34" s="707"/>
      <c r="TPX34" s="707"/>
      <c r="TPY34" s="707"/>
      <c r="TPZ34" s="707"/>
      <c r="TQA34" s="707"/>
      <c r="TQB34" s="707"/>
      <c r="TQC34" s="707"/>
      <c r="TQD34" s="707"/>
      <c r="TQE34" s="707"/>
      <c r="TQF34" s="707"/>
      <c r="TQG34" s="707"/>
      <c r="TQH34" s="707"/>
      <c r="TQI34" s="707"/>
      <c r="TQJ34" s="707"/>
      <c r="TQK34" s="707"/>
      <c r="TQL34" s="707"/>
      <c r="TQM34" s="707"/>
      <c r="TQN34" s="707"/>
      <c r="TQO34" s="707"/>
      <c r="TQP34" s="707"/>
      <c r="TQQ34" s="707"/>
      <c r="TQR34" s="707"/>
      <c r="TQS34" s="707"/>
      <c r="TQT34" s="707"/>
      <c r="TQU34" s="707"/>
      <c r="TQV34" s="707"/>
      <c r="TQW34" s="707"/>
      <c r="TQX34" s="707"/>
      <c r="TQY34" s="707"/>
      <c r="TQZ34" s="707"/>
      <c r="TRA34" s="707"/>
      <c r="TRB34" s="707"/>
      <c r="TRC34" s="707"/>
      <c r="TRD34" s="707"/>
      <c r="TRE34" s="707"/>
      <c r="TRF34" s="707"/>
      <c r="TRG34" s="707"/>
      <c r="TRH34" s="707"/>
      <c r="TRI34" s="707"/>
      <c r="TRJ34" s="707"/>
      <c r="TRK34" s="707"/>
      <c r="TRL34" s="707"/>
      <c r="TRM34" s="707"/>
      <c r="TRN34" s="707"/>
      <c r="TRO34" s="707"/>
      <c r="TRP34" s="707"/>
      <c r="TRQ34" s="707"/>
      <c r="TRR34" s="707"/>
      <c r="TRS34" s="707"/>
      <c r="TRT34" s="707"/>
      <c r="TRU34" s="707"/>
      <c r="TRV34" s="707"/>
      <c r="TRW34" s="707"/>
      <c r="TRX34" s="707"/>
      <c r="TRY34" s="707"/>
      <c r="TRZ34" s="707"/>
      <c r="TSA34" s="707"/>
      <c r="TSB34" s="707"/>
      <c r="TSC34" s="707"/>
      <c r="TSD34" s="707"/>
      <c r="TSE34" s="707"/>
      <c r="TSF34" s="707"/>
      <c r="TSG34" s="707"/>
      <c r="TSH34" s="707"/>
      <c r="TSI34" s="707"/>
      <c r="TSJ34" s="707"/>
      <c r="TSK34" s="707"/>
      <c r="TSL34" s="707"/>
      <c r="TSM34" s="707"/>
      <c r="TSN34" s="707"/>
      <c r="TSO34" s="707"/>
      <c r="TSP34" s="707"/>
      <c r="TSQ34" s="707"/>
      <c r="TSR34" s="707"/>
      <c r="TSS34" s="707"/>
      <c r="TST34" s="707"/>
      <c r="TSU34" s="707"/>
      <c r="TSV34" s="707"/>
      <c r="TSW34" s="707"/>
      <c r="TSX34" s="707"/>
      <c r="TSY34" s="707"/>
      <c r="TSZ34" s="707"/>
      <c r="TTA34" s="707"/>
      <c r="TTB34" s="707"/>
      <c r="TTC34" s="707"/>
      <c r="TTD34" s="707"/>
      <c r="TTE34" s="707"/>
      <c r="TTF34" s="707"/>
      <c r="TTG34" s="707"/>
      <c r="TTH34" s="707"/>
      <c r="TTI34" s="707"/>
      <c r="TTJ34" s="707"/>
      <c r="TTK34" s="707"/>
      <c r="TTL34" s="707"/>
      <c r="TTM34" s="707"/>
      <c r="TTN34" s="707"/>
      <c r="TTO34" s="707"/>
      <c r="TTP34" s="707"/>
      <c r="TTQ34" s="707"/>
      <c r="TTR34" s="707"/>
      <c r="TTS34" s="707"/>
      <c r="TTT34" s="707"/>
      <c r="TTU34" s="707"/>
      <c r="TTV34" s="707"/>
      <c r="TTW34" s="707"/>
      <c r="TTX34" s="707"/>
      <c r="TTY34" s="707"/>
      <c r="TTZ34" s="707"/>
      <c r="TUA34" s="707"/>
      <c r="TUB34" s="707"/>
      <c r="TUC34" s="707"/>
      <c r="TUD34" s="707"/>
      <c r="TUE34" s="707"/>
      <c r="TUF34" s="707"/>
      <c r="TUG34" s="707"/>
      <c r="TUH34" s="707"/>
      <c r="TUI34" s="707"/>
      <c r="TUJ34" s="707"/>
      <c r="TUK34" s="707"/>
      <c r="TUL34" s="707"/>
      <c r="TUM34" s="707"/>
      <c r="TUN34" s="707"/>
      <c r="TUO34" s="707"/>
      <c r="TUP34" s="707"/>
      <c r="TUQ34" s="707"/>
      <c r="TUR34" s="707"/>
      <c r="TUS34" s="707"/>
      <c r="TUT34" s="707"/>
      <c r="TUU34" s="707"/>
      <c r="TUV34" s="707"/>
      <c r="TUW34" s="707"/>
      <c r="TUX34" s="707"/>
      <c r="TUY34" s="707"/>
      <c r="TUZ34" s="707"/>
      <c r="TVA34" s="707"/>
      <c r="TVB34" s="707"/>
      <c r="TVC34" s="707"/>
      <c r="TVD34" s="707"/>
      <c r="TVE34" s="707"/>
      <c r="TVF34" s="707"/>
      <c r="TVG34" s="707"/>
      <c r="TVH34" s="707"/>
      <c r="TVI34" s="707"/>
      <c r="TVJ34" s="707"/>
      <c r="TVK34" s="707"/>
      <c r="TVL34" s="707"/>
      <c r="TVM34" s="707"/>
      <c r="TVN34" s="707"/>
      <c r="TVO34" s="707"/>
      <c r="TVP34" s="707"/>
      <c r="TVQ34" s="707"/>
      <c r="TVR34" s="707"/>
      <c r="TVS34" s="707"/>
      <c r="TVT34" s="707"/>
      <c r="TVU34" s="707"/>
      <c r="TVV34" s="707"/>
      <c r="TVW34" s="707"/>
      <c r="TVX34" s="707"/>
      <c r="TVY34" s="707"/>
      <c r="TVZ34" s="707"/>
      <c r="TWA34" s="707"/>
      <c r="TWB34" s="707"/>
      <c r="TWC34" s="707"/>
      <c r="TWD34" s="707"/>
      <c r="TWE34" s="707"/>
      <c r="TWF34" s="707"/>
      <c r="TWG34" s="707"/>
      <c r="TWH34" s="707"/>
      <c r="TWI34" s="707"/>
      <c r="TWJ34" s="707"/>
      <c r="TWK34" s="707"/>
      <c r="TWL34" s="707"/>
      <c r="TWM34" s="707"/>
      <c r="TWN34" s="707"/>
      <c r="TWO34" s="707"/>
      <c r="TWP34" s="707"/>
      <c r="TWQ34" s="707"/>
      <c r="TWR34" s="707"/>
      <c r="TWS34" s="707"/>
      <c r="TWT34" s="707"/>
      <c r="TWU34" s="707"/>
      <c r="TWV34" s="707"/>
      <c r="TWW34" s="707"/>
      <c r="TWX34" s="707"/>
      <c r="TWY34" s="707"/>
      <c r="TWZ34" s="707"/>
      <c r="TXA34" s="707"/>
      <c r="TXB34" s="707"/>
      <c r="TXC34" s="707"/>
      <c r="TXD34" s="707"/>
      <c r="TXE34" s="707"/>
      <c r="TXF34" s="707"/>
      <c r="TXG34" s="707"/>
      <c r="TXH34" s="707"/>
      <c r="TXI34" s="707"/>
      <c r="TXJ34" s="707"/>
      <c r="TXK34" s="707"/>
      <c r="TXL34" s="707"/>
      <c r="TXM34" s="707"/>
      <c r="TXN34" s="707"/>
      <c r="TXO34" s="707"/>
      <c r="TXP34" s="707"/>
      <c r="TXQ34" s="707"/>
      <c r="TXR34" s="707"/>
      <c r="TXS34" s="707"/>
      <c r="TXT34" s="707"/>
      <c r="TXU34" s="707"/>
      <c r="TXV34" s="707"/>
      <c r="TXW34" s="707"/>
      <c r="TXX34" s="707"/>
      <c r="TXY34" s="707"/>
      <c r="TXZ34" s="707"/>
      <c r="TYA34" s="707"/>
      <c r="TYB34" s="707"/>
      <c r="TYC34" s="707"/>
      <c r="TYD34" s="707"/>
      <c r="TYE34" s="707"/>
      <c r="TYF34" s="707"/>
      <c r="TYG34" s="707"/>
      <c r="TYH34" s="707"/>
      <c r="TYI34" s="707"/>
      <c r="TYJ34" s="707"/>
      <c r="TYK34" s="707"/>
      <c r="TYL34" s="707"/>
      <c r="TYM34" s="707"/>
      <c r="TYN34" s="707"/>
      <c r="TYO34" s="707"/>
      <c r="TYP34" s="707"/>
      <c r="TYQ34" s="707"/>
      <c r="TYR34" s="707"/>
      <c r="TYS34" s="707"/>
      <c r="TYT34" s="707"/>
      <c r="TYU34" s="707"/>
      <c r="TYV34" s="707"/>
      <c r="TYW34" s="707"/>
      <c r="TYX34" s="707"/>
      <c r="TYY34" s="707"/>
      <c r="TYZ34" s="707"/>
      <c r="TZA34" s="707"/>
      <c r="TZB34" s="707"/>
      <c r="TZC34" s="707"/>
      <c r="TZD34" s="707"/>
      <c r="TZE34" s="707"/>
      <c r="TZF34" s="707"/>
      <c r="TZG34" s="707"/>
      <c r="TZH34" s="707"/>
      <c r="TZI34" s="707"/>
      <c r="TZJ34" s="707"/>
      <c r="TZK34" s="707"/>
      <c r="TZL34" s="707"/>
      <c r="TZM34" s="707"/>
      <c r="TZN34" s="707"/>
      <c r="TZO34" s="707"/>
      <c r="TZP34" s="707"/>
      <c r="TZQ34" s="707"/>
      <c r="TZR34" s="707"/>
      <c r="TZS34" s="707"/>
      <c r="TZT34" s="707"/>
      <c r="TZU34" s="707"/>
      <c r="TZV34" s="707"/>
      <c r="TZW34" s="707"/>
      <c r="TZX34" s="707"/>
      <c r="TZY34" s="707"/>
      <c r="TZZ34" s="707"/>
      <c r="UAA34" s="707"/>
      <c r="UAB34" s="707"/>
      <c r="UAC34" s="707"/>
      <c r="UAD34" s="707"/>
      <c r="UAE34" s="707"/>
      <c r="UAF34" s="707"/>
      <c r="UAG34" s="707"/>
      <c r="UAH34" s="707"/>
      <c r="UAI34" s="707"/>
      <c r="UAJ34" s="707"/>
      <c r="UAK34" s="707"/>
      <c r="UAL34" s="707"/>
      <c r="UAM34" s="707"/>
      <c r="UAN34" s="707"/>
      <c r="UAO34" s="707"/>
      <c r="UAP34" s="707"/>
      <c r="UAQ34" s="707"/>
      <c r="UAR34" s="707"/>
      <c r="UAS34" s="707"/>
      <c r="UAT34" s="707"/>
      <c r="UAU34" s="707"/>
      <c r="UAV34" s="707"/>
      <c r="UAW34" s="707"/>
      <c r="UAX34" s="707"/>
      <c r="UAY34" s="707"/>
      <c r="UAZ34" s="707"/>
      <c r="UBA34" s="707"/>
      <c r="UBB34" s="707"/>
      <c r="UBC34" s="707"/>
      <c r="UBD34" s="707"/>
      <c r="UBE34" s="707"/>
      <c r="UBF34" s="707"/>
      <c r="UBG34" s="707"/>
      <c r="UBH34" s="707"/>
      <c r="UBI34" s="707"/>
      <c r="UBJ34" s="707"/>
      <c r="UBK34" s="707"/>
      <c r="UBL34" s="707"/>
      <c r="UBM34" s="707"/>
      <c r="UBN34" s="707"/>
      <c r="UBO34" s="707"/>
      <c r="UBP34" s="707"/>
      <c r="UBQ34" s="707"/>
      <c r="UBR34" s="707"/>
      <c r="UBS34" s="707"/>
      <c r="UBT34" s="707"/>
      <c r="UBU34" s="707"/>
      <c r="UBV34" s="707"/>
      <c r="UBW34" s="707"/>
      <c r="UBX34" s="707"/>
      <c r="UBY34" s="707"/>
      <c r="UBZ34" s="707"/>
      <c r="UCA34" s="707"/>
      <c r="UCB34" s="707"/>
      <c r="UCC34" s="707"/>
      <c r="UCD34" s="707"/>
      <c r="UCE34" s="707"/>
      <c r="UCF34" s="707"/>
      <c r="UCG34" s="707"/>
      <c r="UCH34" s="707"/>
      <c r="UCI34" s="707"/>
      <c r="UCJ34" s="707"/>
      <c r="UCK34" s="707"/>
      <c r="UCL34" s="707"/>
      <c r="UCM34" s="707"/>
      <c r="UCN34" s="707"/>
      <c r="UCO34" s="707"/>
      <c r="UCP34" s="707"/>
      <c r="UCQ34" s="707"/>
      <c r="UCR34" s="707"/>
      <c r="UCS34" s="707"/>
      <c r="UCT34" s="707"/>
      <c r="UCU34" s="707"/>
      <c r="UCV34" s="707"/>
      <c r="UCW34" s="707"/>
      <c r="UCX34" s="707"/>
      <c r="UCY34" s="707"/>
      <c r="UCZ34" s="707"/>
      <c r="UDA34" s="707"/>
      <c r="UDB34" s="707"/>
      <c r="UDC34" s="707"/>
      <c r="UDD34" s="707"/>
      <c r="UDE34" s="707"/>
      <c r="UDF34" s="707"/>
      <c r="UDG34" s="707"/>
      <c r="UDH34" s="707"/>
      <c r="UDI34" s="707"/>
      <c r="UDJ34" s="707"/>
      <c r="UDK34" s="707"/>
      <c r="UDL34" s="707"/>
      <c r="UDM34" s="707"/>
      <c r="UDN34" s="707"/>
      <c r="UDO34" s="707"/>
      <c r="UDP34" s="707"/>
      <c r="UDQ34" s="707"/>
      <c r="UDR34" s="707"/>
      <c r="UDS34" s="707"/>
      <c r="UDT34" s="707"/>
      <c r="UDU34" s="707"/>
      <c r="UDV34" s="707"/>
      <c r="UDW34" s="707"/>
      <c r="UDX34" s="707"/>
      <c r="UDY34" s="707"/>
      <c r="UDZ34" s="707"/>
      <c r="UEA34" s="707"/>
      <c r="UEB34" s="707"/>
      <c r="UEC34" s="707"/>
      <c r="UED34" s="707"/>
      <c r="UEE34" s="707"/>
      <c r="UEF34" s="707"/>
      <c r="UEG34" s="707"/>
      <c r="UEH34" s="707"/>
      <c r="UEI34" s="707"/>
      <c r="UEJ34" s="707"/>
      <c r="UEK34" s="707"/>
      <c r="UEL34" s="707"/>
      <c r="UEM34" s="707"/>
      <c r="UEN34" s="707"/>
      <c r="UEO34" s="707"/>
      <c r="UEP34" s="707"/>
      <c r="UEQ34" s="707"/>
      <c r="UER34" s="707"/>
      <c r="UES34" s="707"/>
      <c r="UET34" s="707"/>
      <c r="UEU34" s="707"/>
      <c r="UEV34" s="707"/>
      <c r="UEW34" s="707"/>
      <c r="UEX34" s="707"/>
      <c r="UEY34" s="707"/>
      <c r="UEZ34" s="707"/>
      <c r="UFA34" s="707"/>
      <c r="UFB34" s="707"/>
      <c r="UFC34" s="707"/>
      <c r="UFD34" s="707"/>
      <c r="UFE34" s="707"/>
      <c r="UFF34" s="707"/>
      <c r="UFG34" s="707"/>
      <c r="UFH34" s="707"/>
      <c r="UFI34" s="707"/>
      <c r="UFJ34" s="707"/>
      <c r="UFK34" s="707"/>
      <c r="UFL34" s="707"/>
      <c r="UFM34" s="707"/>
      <c r="UFN34" s="707"/>
      <c r="UFO34" s="707"/>
      <c r="UFP34" s="707"/>
      <c r="UFQ34" s="707"/>
      <c r="UFR34" s="707"/>
      <c r="UFS34" s="707"/>
      <c r="UFT34" s="707"/>
      <c r="UFU34" s="707"/>
      <c r="UFV34" s="707"/>
      <c r="UFW34" s="707"/>
      <c r="UFX34" s="707"/>
      <c r="UFY34" s="707"/>
      <c r="UFZ34" s="707"/>
      <c r="UGA34" s="707"/>
      <c r="UGB34" s="707"/>
      <c r="UGC34" s="707"/>
      <c r="UGD34" s="707"/>
      <c r="UGE34" s="707"/>
      <c r="UGF34" s="707"/>
      <c r="UGG34" s="707"/>
      <c r="UGH34" s="707"/>
      <c r="UGI34" s="707"/>
      <c r="UGJ34" s="707"/>
      <c r="UGK34" s="707"/>
      <c r="UGL34" s="707"/>
      <c r="UGM34" s="707"/>
      <c r="UGN34" s="707"/>
      <c r="UGO34" s="707"/>
      <c r="UGP34" s="707"/>
      <c r="UGQ34" s="707"/>
      <c r="UGR34" s="707"/>
      <c r="UGS34" s="707"/>
      <c r="UGT34" s="707"/>
      <c r="UGU34" s="707"/>
      <c r="UGV34" s="707"/>
      <c r="UGW34" s="707"/>
      <c r="UGX34" s="707"/>
      <c r="UGY34" s="707"/>
      <c r="UGZ34" s="707"/>
      <c r="UHA34" s="707"/>
      <c r="UHB34" s="707"/>
      <c r="UHC34" s="707"/>
      <c r="UHD34" s="707"/>
      <c r="UHE34" s="707"/>
      <c r="UHF34" s="707"/>
      <c r="UHG34" s="707"/>
      <c r="UHH34" s="707"/>
      <c r="UHI34" s="707"/>
      <c r="UHJ34" s="707"/>
      <c r="UHK34" s="707"/>
      <c r="UHL34" s="707"/>
      <c r="UHM34" s="707"/>
      <c r="UHN34" s="707"/>
      <c r="UHO34" s="707"/>
      <c r="UHP34" s="707"/>
      <c r="UHQ34" s="707"/>
      <c r="UHR34" s="707"/>
      <c r="UHS34" s="707"/>
      <c r="UHT34" s="707"/>
      <c r="UHU34" s="707"/>
      <c r="UHV34" s="707"/>
      <c r="UHW34" s="707"/>
      <c r="UHX34" s="707"/>
      <c r="UHY34" s="707"/>
      <c r="UHZ34" s="707"/>
      <c r="UIA34" s="707"/>
      <c r="UIB34" s="707"/>
      <c r="UIC34" s="707"/>
      <c r="UID34" s="707"/>
      <c r="UIE34" s="707"/>
      <c r="UIF34" s="707"/>
      <c r="UIG34" s="707"/>
      <c r="UIH34" s="707"/>
      <c r="UII34" s="707"/>
      <c r="UIJ34" s="707"/>
      <c r="UIK34" s="707"/>
      <c r="UIL34" s="707"/>
      <c r="UIM34" s="707"/>
      <c r="UIN34" s="707"/>
      <c r="UIO34" s="707"/>
      <c r="UIP34" s="707"/>
      <c r="UIQ34" s="707"/>
      <c r="UIR34" s="707"/>
      <c r="UIS34" s="707"/>
      <c r="UIT34" s="707"/>
      <c r="UIU34" s="707"/>
      <c r="UIV34" s="707"/>
      <c r="UIW34" s="707"/>
      <c r="UIX34" s="707"/>
      <c r="UIY34" s="707"/>
      <c r="UIZ34" s="707"/>
      <c r="UJA34" s="707"/>
      <c r="UJB34" s="707"/>
      <c r="UJC34" s="707"/>
      <c r="UJD34" s="707"/>
      <c r="UJE34" s="707"/>
      <c r="UJF34" s="707"/>
      <c r="UJG34" s="707"/>
      <c r="UJH34" s="707"/>
      <c r="UJI34" s="707"/>
      <c r="UJJ34" s="707"/>
      <c r="UJK34" s="707"/>
      <c r="UJL34" s="707"/>
      <c r="UJM34" s="707"/>
      <c r="UJN34" s="707"/>
      <c r="UJO34" s="707"/>
      <c r="UJP34" s="707"/>
      <c r="UJQ34" s="707"/>
      <c r="UJR34" s="707"/>
      <c r="UJS34" s="707"/>
      <c r="UJT34" s="707"/>
      <c r="UJU34" s="707"/>
      <c r="UJV34" s="707"/>
      <c r="UJW34" s="707"/>
      <c r="UJX34" s="707"/>
      <c r="UJY34" s="707"/>
      <c r="UJZ34" s="707"/>
      <c r="UKA34" s="707"/>
      <c r="UKB34" s="707"/>
      <c r="UKC34" s="707"/>
      <c r="UKD34" s="707"/>
      <c r="UKE34" s="707"/>
      <c r="UKF34" s="707"/>
      <c r="UKG34" s="707"/>
      <c r="UKH34" s="707"/>
      <c r="UKI34" s="707"/>
      <c r="UKJ34" s="707"/>
      <c r="UKK34" s="707"/>
      <c r="UKL34" s="707"/>
      <c r="UKM34" s="707"/>
      <c r="UKN34" s="707"/>
      <c r="UKO34" s="707"/>
      <c r="UKP34" s="707"/>
      <c r="UKQ34" s="707"/>
      <c r="UKR34" s="707"/>
      <c r="UKS34" s="707"/>
      <c r="UKT34" s="707"/>
      <c r="UKU34" s="707"/>
      <c r="UKV34" s="707"/>
      <c r="UKW34" s="707"/>
      <c r="UKX34" s="707"/>
      <c r="UKY34" s="707"/>
      <c r="UKZ34" s="707"/>
      <c r="ULA34" s="707"/>
      <c r="ULB34" s="707"/>
      <c r="ULC34" s="707"/>
      <c r="ULD34" s="707"/>
      <c r="ULE34" s="707"/>
      <c r="ULF34" s="707"/>
      <c r="ULG34" s="707"/>
      <c r="ULH34" s="707"/>
      <c r="ULI34" s="707"/>
      <c r="ULJ34" s="707"/>
      <c r="ULK34" s="707"/>
      <c r="ULL34" s="707"/>
      <c r="ULM34" s="707"/>
      <c r="ULN34" s="707"/>
      <c r="ULO34" s="707"/>
      <c r="ULP34" s="707"/>
      <c r="ULQ34" s="707"/>
      <c r="ULR34" s="707"/>
      <c r="ULS34" s="707"/>
      <c r="ULT34" s="707"/>
      <c r="ULU34" s="707"/>
      <c r="ULV34" s="707"/>
      <c r="ULW34" s="707"/>
      <c r="ULX34" s="707"/>
      <c r="ULY34" s="707"/>
      <c r="ULZ34" s="707"/>
      <c r="UMA34" s="707"/>
      <c r="UMB34" s="707"/>
      <c r="UMC34" s="707"/>
      <c r="UMD34" s="707"/>
      <c r="UME34" s="707"/>
      <c r="UMF34" s="707"/>
      <c r="UMG34" s="707"/>
      <c r="UMH34" s="707"/>
      <c r="UMI34" s="707"/>
      <c r="UMJ34" s="707"/>
      <c r="UMK34" s="707"/>
      <c r="UML34" s="707"/>
      <c r="UMM34" s="707"/>
      <c r="UMN34" s="707"/>
      <c r="UMO34" s="707"/>
      <c r="UMP34" s="707"/>
      <c r="UMQ34" s="707"/>
      <c r="UMR34" s="707"/>
      <c r="UMS34" s="707"/>
      <c r="UMT34" s="707"/>
      <c r="UMU34" s="707"/>
      <c r="UMV34" s="707"/>
      <c r="UMW34" s="707"/>
      <c r="UMX34" s="707"/>
      <c r="UMY34" s="707"/>
      <c r="UMZ34" s="707"/>
      <c r="UNA34" s="707"/>
      <c r="UNB34" s="707"/>
      <c r="UNC34" s="707"/>
      <c r="UND34" s="707"/>
      <c r="UNE34" s="707"/>
      <c r="UNF34" s="707"/>
      <c r="UNG34" s="707"/>
      <c r="UNH34" s="707"/>
      <c r="UNI34" s="707"/>
      <c r="UNJ34" s="707"/>
      <c r="UNK34" s="707"/>
      <c r="UNL34" s="707"/>
      <c r="UNM34" s="707"/>
      <c r="UNN34" s="707"/>
      <c r="UNO34" s="707"/>
      <c r="UNP34" s="707"/>
      <c r="UNQ34" s="707"/>
      <c r="UNR34" s="707"/>
      <c r="UNS34" s="707"/>
      <c r="UNT34" s="707"/>
      <c r="UNU34" s="707"/>
      <c r="UNV34" s="707"/>
      <c r="UNW34" s="707"/>
      <c r="UNX34" s="707"/>
      <c r="UNY34" s="707"/>
      <c r="UNZ34" s="707"/>
      <c r="UOA34" s="707"/>
      <c r="UOB34" s="707"/>
      <c r="UOC34" s="707"/>
      <c r="UOD34" s="707"/>
      <c r="UOE34" s="707"/>
      <c r="UOF34" s="707"/>
      <c r="UOG34" s="707"/>
      <c r="UOH34" s="707"/>
      <c r="UOI34" s="707"/>
      <c r="UOJ34" s="707"/>
      <c r="UOK34" s="707"/>
      <c r="UOL34" s="707"/>
      <c r="UOM34" s="707"/>
      <c r="UON34" s="707"/>
      <c r="UOO34" s="707"/>
      <c r="UOP34" s="707"/>
      <c r="UOQ34" s="707"/>
      <c r="UOR34" s="707"/>
      <c r="UOS34" s="707"/>
      <c r="UOT34" s="707"/>
      <c r="UOU34" s="707"/>
      <c r="UOV34" s="707"/>
      <c r="UOW34" s="707"/>
      <c r="UOX34" s="707"/>
      <c r="UOY34" s="707"/>
      <c r="UOZ34" s="707"/>
      <c r="UPA34" s="707"/>
      <c r="UPB34" s="707"/>
      <c r="UPC34" s="707"/>
      <c r="UPD34" s="707"/>
      <c r="UPE34" s="707"/>
      <c r="UPF34" s="707"/>
      <c r="UPG34" s="707"/>
      <c r="UPH34" s="707"/>
      <c r="UPI34" s="707"/>
      <c r="UPJ34" s="707"/>
      <c r="UPK34" s="707"/>
      <c r="UPL34" s="707"/>
      <c r="UPM34" s="707"/>
      <c r="UPN34" s="707"/>
      <c r="UPO34" s="707"/>
      <c r="UPP34" s="707"/>
      <c r="UPQ34" s="707"/>
      <c r="UPR34" s="707"/>
      <c r="UPS34" s="707"/>
      <c r="UPT34" s="707"/>
      <c r="UPU34" s="707"/>
      <c r="UPV34" s="707"/>
      <c r="UPW34" s="707"/>
      <c r="UPX34" s="707"/>
      <c r="UPY34" s="707"/>
      <c r="UPZ34" s="707"/>
      <c r="UQA34" s="707"/>
      <c r="UQB34" s="707"/>
      <c r="UQC34" s="707"/>
      <c r="UQD34" s="707"/>
      <c r="UQE34" s="707"/>
      <c r="UQF34" s="707"/>
      <c r="UQG34" s="707"/>
      <c r="UQH34" s="707"/>
      <c r="UQI34" s="707"/>
      <c r="UQJ34" s="707"/>
      <c r="UQK34" s="707"/>
      <c r="UQL34" s="707"/>
      <c r="UQM34" s="707"/>
      <c r="UQN34" s="707"/>
      <c r="UQO34" s="707"/>
      <c r="UQP34" s="707"/>
      <c r="UQQ34" s="707"/>
      <c r="UQR34" s="707"/>
      <c r="UQS34" s="707"/>
      <c r="UQT34" s="707"/>
      <c r="UQU34" s="707"/>
      <c r="UQV34" s="707"/>
      <c r="UQW34" s="707"/>
      <c r="UQX34" s="707"/>
      <c r="UQY34" s="707"/>
      <c r="UQZ34" s="707"/>
      <c r="URA34" s="707"/>
      <c r="URB34" s="707"/>
      <c r="URC34" s="707"/>
      <c r="URD34" s="707"/>
      <c r="URE34" s="707"/>
      <c r="URF34" s="707"/>
      <c r="URG34" s="707"/>
      <c r="URH34" s="707"/>
      <c r="URI34" s="707"/>
      <c r="URJ34" s="707"/>
      <c r="URK34" s="707"/>
      <c r="URL34" s="707"/>
      <c r="URM34" s="707"/>
      <c r="URN34" s="707"/>
      <c r="URO34" s="707"/>
      <c r="URP34" s="707"/>
      <c r="URQ34" s="707"/>
      <c r="URR34" s="707"/>
      <c r="URS34" s="707"/>
      <c r="URT34" s="707"/>
      <c r="URU34" s="707"/>
      <c r="URV34" s="707"/>
      <c r="URW34" s="707"/>
      <c r="URX34" s="707"/>
      <c r="URY34" s="707"/>
      <c r="URZ34" s="707"/>
      <c r="USA34" s="707"/>
      <c r="USB34" s="707"/>
      <c r="USC34" s="707"/>
      <c r="USD34" s="707"/>
      <c r="USE34" s="707"/>
      <c r="USF34" s="707"/>
      <c r="USG34" s="707"/>
      <c r="USH34" s="707"/>
      <c r="USI34" s="707"/>
      <c r="USJ34" s="707"/>
      <c r="USK34" s="707"/>
      <c r="USL34" s="707"/>
      <c r="USM34" s="707"/>
      <c r="USN34" s="707"/>
      <c r="USO34" s="707"/>
      <c r="USP34" s="707"/>
      <c r="USQ34" s="707"/>
      <c r="USR34" s="707"/>
      <c r="USS34" s="707"/>
      <c r="UST34" s="707"/>
      <c r="USU34" s="707"/>
      <c r="USV34" s="707"/>
      <c r="USW34" s="707"/>
      <c r="USX34" s="707"/>
      <c r="USY34" s="707"/>
      <c r="USZ34" s="707"/>
      <c r="UTA34" s="707"/>
      <c r="UTB34" s="707"/>
      <c r="UTC34" s="707"/>
      <c r="UTD34" s="707"/>
      <c r="UTE34" s="707"/>
      <c r="UTF34" s="707"/>
      <c r="UTG34" s="707"/>
      <c r="UTH34" s="707"/>
      <c r="UTI34" s="707"/>
      <c r="UTJ34" s="707"/>
      <c r="UTK34" s="707"/>
      <c r="UTL34" s="707"/>
      <c r="UTM34" s="707"/>
      <c r="UTN34" s="707"/>
      <c r="UTO34" s="707"/>
      <c r="UTP34" s="707"/>
      <c r="UTQ34" s="707"/>
      <c r="UTR34" s="707"/>
      <c r="UTS34" s="707"/>
      <c r="UTT34" s="707"/>
      <c r="UTU34" s="707"/>
      <c r="UTV34" s="707"/>
      <c r="UTW34" s="707"/>
      <c r="UTX34" s="707"/>
      <c r="UTY34" s="707"/>
      <c r="UTZ34" s="707"/>
      <c r="UUA34" s="707"/>
      <c r="UUB34" s="707"/>
      <c r="UUC34" s="707"/>
      <c r="UUD34" s="707"/>
      <c r="UUE34" s="707"/>
      <c r="UUF34" s="707"/>
      <c r="UUG34" s="707"/>
      <c r="UUH34" s="707"/>
      <c r="UUI34" s="707"/>
      <c r="UUJ34" s="707"/>
      <c r="UUK34" s="707"/>
      <c r="UUL34" s="707"/>
      <c r="UUM34" s="707"/>
      <c r="UUN34" s="707"/>
      <c r="UUO34" s="707"/>
      <c r="UUP34" s="707"/>
      <c r="UUQ34" s="707"/>
      <c r="UUR34" s="707"/>
      <c r="UUS34" s="707"/>
      <c r="UUT34" s="707"/>
      <c r="UUU34" s="707"/>
      <c r="UUV34" s="707"/>
      <c r="UUW34" s="707"/>
      <c r="UUX34" s="707"/>
      <c r="UUY34" s="707"/>
      <c r="UUZ34" s="707"/>
      <c r="UVA34" s="707"/>
      <c r="UVB34" s="707"/>
      <c r="UVC34" s="707"/>
      <c r="UVD34" s="707"/>
      <c r="UVE34" s="707"/>
      <c r="UVF34" s="707"/>
      <c r="UVG34" s="707"/>
      <c r="UVH34" s="707"/>
      <c r="UVI34" s="707"/>
      <c r="UVJ34" s="707"/>
      <c r="UVK34" s="707"/>
      <c r="UVL34" s="707"/>
      <c r="UVM34" s="707"/>
      <c r="UVN34" s="707"/>
      <c r="UVO34" s="707"/>
      <c r="UVP34" s="707"/>
      <c r="UVQ34" s="707"/>
      <c r="UVR34" s="707"/>
      <c r="UVS34" s="707"/>
      <c r="UVT34" s="707"/>
      <c r="UVU34" s="707"/>
      <c r="UVV34" s="707"/>
      <c r="UVW34" s="707"/>
      <c r="UVX34" s="707"/>
      <c r="UVY34" s="707"/>
      <c r="UVZ34" s="707"/>
      <c r="UWA34" s="707"/>
      <c r="UWB34" s="707"/>
      <c r="UWC34" s="707"/>
      <c r="UWD34" s="707"/>
      <c r="UWE34" s="707"/>
      <c r="UWF34" s="707"/>
      <c r="UWG34" s="707"/>
      <c r="UWH34" s="707"/>
      <c r="UWI34" s="707"/>
      <c r="UWJ34" s="707"/>
      <c r="UWK34" s="707"/>
      <c r="UWL34" s="707"/>
      <c r="UWM34" s="707"/>
      <c r="UWN34" s="707"/>
      <c r="UWO34" s="707"/>
      <c r="UWP34" s="707"/>
      <c r="UWQ34" s="707"/>
      <c r="UWR34" s="707"/>
      <c r="UWS34" s="707"/>
      <c r="UWT34" s="707"/>
      <c r="UWU34" s="707"/>
      <c r="UWV34" s="707"/>
      <c r="UWW34" s="707"/>
      <c r="UWX34" s="707"/>
      <c r="UWY34" s="707"/>
      <c r="UWZ34" s="707"/>
      <c r="UXA34" s="707"/>
      <c r="UXB34" s="707"/>
      <c r="UXC34" s="707"/>
      <c r="UXD34" s="707"/>
      <c r="UXE34" s="707"/>
      <c r="UXF34" s="707"/>
      <c r="UXG34" s="707"/>
      <c r="UXH34" s="707"/>
      <c r="UXI34" s="707"/>
      <c r="UXJ34" s="707"/>
      <c r="UXK34" s="707"/>
      <c r="UXL34" s="707"/>
      <c r="UXM34" s="707"/>
      <c r="UXN34" s="707"/>
      <c r="UXO34" s="707"/>
      <c r="UXP34" s="707"/>
      <c r="UXQ34" s="707"/>
      <c r="UXR34" s="707"/>
      <c r="UXS34" s="707"/>
      <c r="UXT34" s="707"/>
      <c r="UXU34" s="707"/>
      <c r="UXV34" s="707"/>
      <c r="UXW34" s="707"/>
      <c r="UXX34" s="707"/>
      <c r="UXY34" s="707"/>
      <c r="UXZ34" s="707"/>
      <c r="UYA34" s="707"/>
      <c r="UYB34" s="707"/>
      <c r="UYC34" s="707"/>
      <c r="UYD34" s="707"/>
      <c r="UYE34" s="707"/>
      <c r="UYF34" s="707"/>
      <c r="UYG34" s="707"/>
      <c r="UYH34" s="707"/>
      <c r="UYI34" s="707"/>
      <c r="UYJ34" s="707"/>
      <c r="UYK34" s="707"/>
      <c r="UYL34" s="707"/>
      <c r="UYM34" s="707"/>
      <c r="UYN34" s="707"/>
      <c r="UYO34" s="707"/>
      <c r="UYP34" s="707"/>
      <c r="UYQ34" s="707"/>
      <c r="UYR34" s="707"/>
      <c r="UYS34" s="707"/>
      <c r="UYT34" s="707"/>
      <c r="UYU34" s="707"/>
      <c r="UYV34" s="707"/>
      <c r="UYW34" s="707"/>
      <c r="UYX34" s="707"/>
      <c r="UYY34" s="707"/>
      <c r="UYZ34" s="707"/>
      <c r="UZA34" s="707"/>
      <c r="UZB34" s="707"/>
      <c r="UZC34" s="707"/>
      <c r="UZD34" s="707"/>
      <c r="UZE34" s="707"/>
      <c r="UZF34" s="707"/>
      <c r="UZG34" s="707"/>
      <c r="UZH34" s="707"/>
      <c r="UZI34" s="707"/>
      <c r="UZJ34" s="707"/>
      <c r="UZK34" s="707"/>
      <c r="UZL34" s="707"/>
      <c r="UZM34" s="707"/>
      <c r="UZN34" s="707"/>
      <c r="UZO34" s="707"/>
      <c r="UZP34" s="707"/>
      <c r="UZQ34" s="707"/>
      <c r="UZR34" s="707"/>
      <c r="UZS34" s="707"/>
      <c r="UZT34" s="707"/>
      <c r="UZU34" s="707"/>
      <c r="UZV34" s="707"/>
      <c r="UZW34" s="707"/>
      <c r="UZX34" s="707"/>
      <c r="UZY34" s="707"/>
      <c r="UZZ34" s="707"/>
      <c r="VAA34" s="707"/>
      <c r="VAB34" s="707"/>
      <c r="VAC34" s="707"/>
      <c r="VAD34" s="707"/>
      <c r="VAE34" s="707"/>
      <c r="VAF34" s="707"/>
      <c r="VAG34" s="707"/>
      <c r="VAH34" s="707"/>
      <c r="VAI34" s="707"/>
      <c r="VAJ34" s="707"/>
      <c r="VAK34" s="707"/>
      <c r="VAL34" s="707"/>
      <c r="VAM34" s="707"/>
      <c r="VAN34" s="707"/>
      <c r="VAO34" s="707"/>
      <c r="VAP34" s="707"/>
      <c r="VAQ34" s="707"/>
      <c r="VAR34" s="707"/>
      <c r="VAS34" s="707"/>
      <c r="VAT34" s="707"/>
      <c r="VAU34" s="707"/>
      <c r="VAV34" s="707"/>
      <c r="VAW34" s="707"/>
      <c r="VAX34" s="707"/>
      <c r="VAY34" s="707"/>
      <c r="VAZ34" s="707"/>
      <c r="VBA34" s="707"/>
      <c r="VBB34" s="707"/>
      <c r="VBC34" s="707"/>
      <c r="VBD34" s="707"/>
      <c r="VBE34" s="707"/>
      <c r="VBF34" s="707"/>
      <c r="VBG34" s="707"/>
      <c r="VBH34" s="707"/>
      <c r="VBI34" s="707"/>
      <c r="VBJ34" s="707"/>
      <c r="VBK34" s="707"/>
      <c r="VBL34" s="707"/>
      <c r="VBM34" s="707"/>
      <c r="VBN34" s="707"/>
      <c r="VBO34" s="707"/>
      <c r="VBP34" s="707"/>
      <c r="VBQ34" s="707"/>
      <c r="VBR34" s="707"/>
      <c r="VBS34" s="707"/>
      <c r="VBT34" s="707"/>
      <c r="VBU34" s="707"/>
      <c r="VBV34" s="707"/>
      <c r="VBW34" s="707"/>
      <c r="VBX34" s="707"/>
      <c r="VBY34" s="707"/>
      <c r="VBZ34" s="707"/>
      <c r="VCA34" s="707"/>
      <c r="VCB34" s="707"/>
      <c r="VCC34" s="707"/>
      <c r="VCD34" s="707"/>
      <c r="VCE34" s="707"/>
      <c r="VCF34" s="707"/>
      <c r="VCG34" s="707"/>
      <c r="VCH34" s="707"/>
      <c r="VCI34" s="707"/>
      <c r="VCJ34" s="707"/>
      <c r="VCK34" s="707"/>
      <c r="VCL34" s="707"/>
      <c r="VCM34" s="707"/>
      <c r="VCN34" s="707"/>
      <c r="VCO34" s="707"/>
      <c r="VCP34" s="707"/>
      <c r="VCQ34" s="707"/>
      <c r="VCR34" s="707"/>
      <c r="VCS34" s="707"/>
      <c r="VCT34" s="707"/>
      <c r="VCU34" s="707"/>
      <c r="VCV34" s="707"/>
      <c r="VCW34" s="707"/>
      <c r="VCX34" s="707"/>
      <c r="VCY34" s="707"/>
      <c r="VCZ34" s="707"/>
      <c r="VDA34" s="707"/>
      <c r="VDB34" s="707"/>
      <c r="VDC34" s="707"/>
      <c r="VDD34" s="707"/>
      <c r="VDE34" s="707"/>
      <c r="VDF34" s="707"/>
      <c r="VDG34" s="707"/>
      <c r="VDH34" s="707"/>
      <c r="VDI34" s="707"/>
      <c r="VDJ34" s="707"/>
      <c r="VDK34" s="707"/>
      <c r="VDL34" s="707"/>
      <c r="VDM34" s="707"/>
      <c r="VDN34" s="707"/>
      <c r="VDO34" s="707"/>
      <c r="VDP34" s="707"/>
      <c r="VDQ34" s="707"/>
      <c r="VDR34" s="707"/>
      <c r="VDS34" s="707"/>
      <c r="VDT34" s="707"/>
      <c r="VDU34" s="707"/>
      <c r="VDV34" s="707"/>
      <c r="VDW34" s="707"/>
      <c r="VDX34" s="707"/>
      <c r="VDY34" s="707"/>
      <c r="VDZ34" s="707"/>
      <c r="VEA34" s="707"/>
      <c r="VEB34" s="707"/>
      <c r="VEC34" s="707"/>
      <c r="VED34" s="707"/>
      <c r="VEE34" s="707"/>
      <c r="VEF34" s="707"/>
      <c r="VEG34" s="707"/>
      <c r="VEH34" s="707"/>
      <c r="VEI34" s="707"/>
      <c r="VEJ34" s="707"/>
      <c r="VEK34" s="707"/>
      <c r="VEL34" s="707"/>
      <c r="VEM34" s="707"/>
      <c r="VEN34" s="707"/>
      <c r="VEO34" s="707"/>
      <c r="VEP34" s="707"/>
      <c r="VEQ34" s="707"/>
      <c r="VER34" s="707"/>
      <c r="VES34" s="707"/>
      <c r="VET34" s="707"/>
      <c r="VEU34" s="707"/>
      <c r="VEV34" s="707"/>
      <c r="VEW34" s="707"/>
      <c r="VEX34" s="707"/>
      <c r="VEY34" s="707"/>
      <c r="VEZ34" s="707"/>
      <c r="VFA34" s="707"/>
      <c r="VFB34" s="707"/>
      <c r="VFC34" s="707"/>
      <c r="VFD34" s="707"/>
      <c r="VFE34" s="707"/>
      <c r="VFF34" s="707"/>
      <c r="VFG34" s="707"/>
      <c r="VFH34" s="707"/>
      <c r="VFI34" s="707"/>
      <c r="VFJ34" s="707"/>
      <c r="VFK34" s="707"/>
      <c r="VFL34" s="707"/>
      <c r="VFM34" s="707"/>
      <c r="VFN34" s="707"/>
      <c r="VFO34" s="707"/>
      <c r="VFP34" s="707"/>
      <c r="VFQ34" s="707"/>
      <c r="VFR34" s="707"/>
      <c r="VFS34" s="707"/>
      <c r="VFT34" s="707"/>
      <c r="VFU34" s="707"/>
      <c r="VFV34" s="707"/>
      <c r="VFW34" s="707"/>
      <c r="VFX34" s="707"/>
      <c r="VFY34" s="707"/>
      <c r="VFZ34" s="707"/>
      <c r="VGA34" s="707"/>
      <c r="VGB34" s="707"/>
      <c r="VGC34" s="707"/>
      <c r="VGD34" s="707"/>
      <c r="VGE34" s="707"/>
      <c r="VGF34" s="707"/>
      <c r="VGG34" s="707"/>
      <c r="VGH34" s="707"/>
      <c r="VGI34" s="707"/>
      <c r="VGJ34" s="707"/>
      <c r="VGK34" s="707"/>
      <c r="VGL34" s="707"/>
      <c r="VGM34" s="707"/>
      <c r="VGN34" s="707"/>
      <c r="VGO34" s="707"/>
      <c r="VGP34" s="707"/>
      <c r="VGQ34" s="707"/>
      <c r="VGR34" s="707"/>
      <c r="VGS34" s="707"/>
      <c r="VGT34" s="707"/>
      <c r="VGU34" s="707"/>
      <c r="VGV34" s="707"/>
      <c r="VGW34" s="707"/>
      <c r="VGX34" s="707"/>
      <c r="VGY34" s="707"/>
      <c r="VGZ34" s="707"/>
      <c r="VHA34" s="707"/>
      <c r="VHB34" s="707"/>
      <c r="VHC34" s="707"/>
      <c r="VHD34" s="707"/>
      <c r="VHE34" s="707"/>
      <c r="VHF34" s="707"/>
      <c r="VHG34" s="707"/>
      <c r="VHH34" s="707"/>
      <c r="VHI34" s="707"/>
      <c r="VHJ34" s="707"/>
      <c r="VHK34" s="707"/>
      <c r="VHL34" s="707"/>
      <c r="VHM34" s="707"/>
      <c r="VHN34" s="707"/>
      <c r="VHO34" s="707"/>
      <c r="VHP34" s="707"/>
      <c r="VHQ34" s="707"/>
      <c r="VHR34" s="707"/>
      <c r="VHS34" s="707"/>
      <c r="VHT34" s="707"/>
      <c r="VHU34" s="707"/>
      <c r="VHV34" s="707"/>
      <c r="VHW34" s="707"/>
      <c r="VHX34" s="707"/>
      <c r="VHY34" s="707"/>
      <c r="VHZ34" s="707"/>
      <c r="VIA34" s="707"/>
      <c r="VIB34" s="707"/>
      <c r="VIC34" s="707"/>
      <c r="VID34" s="707"/>
      <c r="VIE34" s="707"/>
      <c r="VIF34" s="707"/>
      <c r="VIG34" s="707"/>
      <c r="VIH34" s="707"/>
      <c r="VII34" s="707"/>
      <c r="VIJ34" s="707"/>
      <c r="VIK34" s="707"/>
      <c r="VIL34" s="707"/>
      <c r="VIM34" s="707"/>
      <c r="VIN34" s="707"/>
      <c r="VIO34" s="707"/>
      <c r="VIP34" s="707"/>
      <c r="VIQ34" s="707"/>
      <c r="VIR34" s="707"/>
      <c r="VIS34" s="707"/>
      <c r="VIT34" s="707"/>
      <c r="VIU34" s="707"/>
      <c r="VIV34" s="707"/>
      <c r="VIW34" s="707"/>
      <c r="VIX34" s="707"/>
      <c r="VIY34" s="707"/>
      <c r="VIZ34" s="707"/>
      <c r="VJA34" s="707"/>
      <c r="VJB34" s="707"/>
      <c r="VJC34" s="707"/>
      <c r="VJD34" s="707"/>
      <c r="VJE34" s="707"/>
      <c r="VJF34" s="707"/>
      <c r="VJG34" s="707"/>
      <c r="VJH34" s="707"/>
      <c r="VJI34" s="707"/>
      <c r="VJJ34" s="707"/>
      <c r="VJK34" s="707"/>
      <c r="VJL34" s="707"/>
      <c r="VJM34" s="707"/>
      <c r="VJN34" s="707"/>
      <c r="VJO34" s="707"/>
      <c r="VJP34" s="707"/>
      <c r="VJQ34" s="707"/>
      <c r="VJR34" s="707"/>
      <c r="VJS34" s="707"/>
      <c r="VJT34" s="707"/>
      <c r="VJU34" s="707"/>
      <c r="VJV34" s="707"/>
      <c r="VJW34" s="707"/>
      <c r="VJX34" s="707"/>
      <c r="VJY34" s="707"/>
      <c r="VJZ34" s="707"/>
      <c r="VKA34" s="707"/>
      <c r="VKB34" s="707"/>
      <c r="VKC34" s="707"/>
      <c r="VKD34" s="707"/>
      <c r="VKE34" s="707"/>
      <c r="VKF34" s="707"/>
      <c r="VKG34" s="707"/>
      <c r="VKH34" s="707"/>
      <c r="VKI34" s="707"/>
      <c r="VKJ34" s="707"/>
      <c r="VKK34" s="707"/>
      <c r="VKL34" s="707"/>
      <c r="VKM34" s="707"/>
      <c r="VKN34" s="707"/>
      <c r="VKO34" s="707"/>
      <c r="VKP34" s="707"/>
      <c r="VKQ34" s="707"/>
      <c r="VKR34" s="707"/>
      <c r="VKS34" s="707"/>
      <c r="VKT34" s="707"/>
      <c r="VKU34" s="707"/>
      <c r="VKV34" s="707"/>
      <c r="VKW34" s="707"/>
      <c r="VKX34" s="707"/>
      <c r="VKY34" s="707"/>
      <c r="VKZ34" s="707"/>
      <c r="VLA34" s="707"/>
      <c r="VLB34" s="707"/>
      <c r="VLC34" s="707"/>
      <c r="VLD34" s="707"/>
      <c r="VLE34" s="707"/>
      <c r="VLF34" s="707"/>
      <c r="VLG34" s="707"/>
      <c r="VLH34" s="707"/>
      <c r="VLI34" s="707"/>
      <c r="VLJ34" s="707"/>
      <c r="VLK34" s="707"/>
      <c r="VLL34" s="707"/>
      <c r="VLM34" s="707"/>
      <c r="VLN34" s="707"/>
      <c r="VLO34" s="707"/>
      <c r="VLP34" s="707"/>
      <c r="VLQ34" s="707"/>
      <c r="VLR34" s="707"/>
      <c r="VLS34" s="707"/>
      <c r="VLT34" s="707"/>
      <c r="VLU34" s="707"/>
      <c r="VLV34" s="707"/>
      <c r="VLW34" s="707"/>
      <c r="VLX34" s="707"/>
      <c r="VLY34" s="707"/>
      <c r="VLZ34" s="707"/>
      <c r="VMA34" s="707"/>
      <c r="VMB34" s="707"/>
      <c r="VMC34" s="707"/>
      <c r="VMD34" s="707"/>
      <c r="VME34" s="707"/>
      <c r="VMF34" s="707"/>
      <c r="VMG34" s="707"/>
      <c r="VMH34" s="707"/>
      <c r="VMI34" s="707"/>
      <c r="VMJ34" s="707"/>
      <c r="VMK34" s="707"/>
      <c r="VML34" s="707"/>
      <c r="VMM34" s="707"/>
      <c r="VMN34" s="707"/>
      <c r="VMO34" s="707"/>
      <c r="VMP34" s="707"/>
      <c r="VMQ34" s="707"/>
      <c r="VMR34" s="707"/>
      <c r="VMS34" s="707"/>
      <c r="VMT34" s="707"/>
      <c r="VMU34" s="707"/>
      <c r="VMV34" s="707"/>
      <c r="VMW34" s="707"/>
      <c r="VMX34" s="707"/>
      <c r="VMY34" s="707"/>
      <c r="VMZ34" s="707"/>
      <c r="VNA34" s="707"/>
      <c r="VNB34" s="707"/>
      <c r="VNC34" s="707"/>
      <c r="VND34" s="707"/>
      <c r="VNE34" s="707"/>
      <c r="VNF34" s="707"/>
      <c r="VNG34" s="707"/>
      <c r="VNH34" s="707"/>
      <c r="VNI34" s="707"/>
      <c r="VNJ34" s="707"/>
      <c r="VNK34" s="707"/>
      <c r="VNL34" s="707"/>
      <c r="VNM34" s="707"/>
      <c r="VNN34" s="707"/>
      <c r="VNO34" s="707"/>
      <c r="VNP34" s="707"/>
      <c r="VNQ34" s="707"/>
      <c r="VNR34" s="707"/>
      <c r="VNS34" s="707"/>
      <c r="VNT34" s="707"/>
      <c r="VNU34" s="707"/>
      <c r="VNV34" s="707"/>
      <c r="VNW34" s="707"/>
      <c r="VNX34" s="707"/>
      <c r="VNY34" s="707"/>
      <c r="VNZ34" s="707"/>
      <c r="VOA34" s="707"/>
      <c r="VOB34" s="707"/>
      <c r="VOC34" s="707"/>
      <c r="VOD34" s="707"/>
      <c r="VOE34" s="707"/>
      <c r="VOF34" s="707"/>
      <c r="VOG34" s="707"/>
      <c r="VOH34" s="707"/>
      <c r="VOI34" s="707"/>
      <c r="VOJ34" s="707"/>
      <c r="VOK34" s="707"/>
      <c r="VOL34" s="707"/>
      <c r="VOM34" s="707"/>
      <c r="VON34" s="707"/>
      <c r="VOO34" s="707"/>
      <c r="VOP34" s="707"/>
      <c r="VOQ34" s="707"/>
      <c r="VOR34" s="707"/>
      <c r="VOS34" s="707"/>
      <c r="VOT34" s="707"/>
      <c r="VOU34" s="707"/>
      <c r="VOV34" s="707"/>
      <c r="VOW34" s="707"/>
      <c r="VOX34" s="707"/>
      <c r="VOY34" s="707"/>
      <c r="VOZ34" s="707"/>
      <c r="VPA34" s="707"/>
      <c r="VPB34" s="707"/>
      <c r="VPC34" s="707"/>
      <c r="VPD34" s="707"/>
      <c r="VPE34" s="707"/>
      <c r="VPF34" s="707"/>
      <c r="VPG34" s="707"/>
      <c r="VPH34" s="707"/>
      <c r="VPI34" s="707"/>
      <c r="VPJ34" s="707"/>
      <c r="VPK34" s="707"/>
      <c r="VPL34" s="707"/>
      <c r="VPM34" s="707"/>
      <c r="VPN34" s="707"/>
      <c r="VPO34" s="707"/>
      <c r="VPP34" s="707"/>
      <c r="VPQ34" s="707"/>
      <c r="VPR34" s="707"/>
      <c r="VPS34" s="707"/>
      <c r="VPT34" s="707"/>
      <c r="VPU34" s="707"/>
      <c r="VPV34" s="707"/>
      <c r="VPW34" s="707"/>
      <c r="VPX34" s="707"/>
      <c r="VPY34" s="707"/>
      <c r="VPZ34" s="707"/>
      <c r="VQA34" s="707"/>
      <c r="VQB34" s="707"/>
      <c r="VQC34" s="707"/>
      <c r="VQD34" s="707"/>
      <c r="VQE34" s="707"/>
      <c r="VQF34" s="707"/>
      <c r="VQG34" s="707"/>
      <c r="VQH34" s="707"/>
      <c r="VQI34" s="707"/>
      <c r="VQJ34" s="707"/>
      <c r="VQK34" s="707"/>
      <c r="VQL34" s="707"/>
      <c r="VQM34" s="707"/>
      <c r="VQN34" s="707"/>
      <c r="VQO34" s="707"/>
      <c r="VQP34" s="707"/>
      <c r="VQQ34" s="707"/>
      <c r="VQR34" s="707"/>
      <c r="VQS34" s="707"/>
      <c r="VQT34" s="707"/>
      <c r="VQU34" s="707"/>
      <c r="VQV34" s="707"/>
      <c r="VQW34" s="707"/>
      <c r="VQX34" s="707"/>
      <c r="VQY34" s="707"/>
      <c r="VQZ34" s="707"/>
      <c r="VRA34" s="707"/>
      <c r="VRB34" s="707"/>
      <c r="VRC34" s="707"/>
      <c r="VRD34" s="707"/>
      <c r="VRE34" s="707"/>
      <c r="VRF34" s="707"/>
      <c r="VRG34" s="707"/>
      <c r="VRH34" s="707"/>
      <c r="VRI34" s="707"/>
      <c r="VRJ34" s="707"/>
      <c r="VRK34" s="707"/>
      <c r="VRL34" s="707"/>
      <c r="VRM34" s="707"/>
      <c r="VRN34" s="707"/>
      <c r="VRO34" s="707"/>
      <c r="VRP34" s="707"/>
      <c r="VRQ34" s="707"/>
      <c r="VRR34" s="707"/>
      <c r="VRS34" s="707"/>
      <c r="VRT34" s="707"/>
      <c r="VRU34" s="707"/>
      <c r="VRV34" s="707"/>
      <c r="VRW34" s="707"/>
      <c r="VRX34" s="707"/>
      <c r="VRY34" s="707"/>
      <c r="VRZ34" s="707"/>
      <c r="VSA34" s="707"/>
      <c r="VSB34" s="707"/>
      <c r="VSC34" s="707"/>
      <c r="VSD34" s="707"/>
      <c r="VSE34" s="707"/>
      <c r="VSF34" s="707"/>
      <c r="VSG34" s="707"/>
      <c r="VSH34" s="707"/>
      <c r="VSI34" s="707"/>
      <c r="VSJ34" s="707"/>
      <c r="VSK34" s="707"/>
      <c r="VSL34" s="707"/>
      <c r="VSM34" s="707"/>
      <c r="VSN34" s="707"/>
      <c r="VSO34" s="707"/>
      <c r="VSP34" s="707"/>
      <c r="VSQ34" s="707"/>
      <c r="VSR34" s="707"/>
      <c r="VSS34" s="707"/>
      <c r="VST34" s="707"/>
      <c r="VSU34" s="707"/>
      <c r="VSV34" s="707"/>
      <c r="VSW34" s="707"/>
      <c r="VSX34" s="707"/>
      <c r="VSY34" s="707"/>
      <c r="VSZ34" s="707"/>
      <c r="VTA34" s="707"/>
      <c r="VTB34" s="707"/>
      <c r="VTC34" s="707"/>
      <c r="VTD34" s="707"/>
      <c r="VTE34" s="707"/>
      <c r="VTF34" s="707"/>
      <c r="VTG34" s="707"/>
      <c r="VTH34" s="707"/>
      <c r="VTI34" s="707"/>
      <c r="VTJ34" s="707"/>
      <c r="VTK34" s="707"/>
      <c r="VTL34" s="707"/>
      <c r="VTM34" s="707"/>
      <c r="VTN34" s="707"/>
      <c r="VTO34" s="707"/>
      <c r="VTP34" s="707"/>
      <c r="VTQ34" s="707"/>
      <c r="VTR34" s="707"/>
      <c r="VTS34" s="707"/>
      <c r="VTT34" s="707"/>
      <c r="VTU34" s="707"/>
      <c r="VTV34" s="707"/>
      <c r="VTW34" s="707"/>
      <c r="VTX34" s="707"/>
      <c r="VTY34" s="707"/>
      <c r="VTZ34" s="707"/>
      <c r="VUA34" s="707"/>
      <c r="VUB34" s="707"/>
      <c r="VUC34" s="707"/>
      <c r="VUD34" s="707"/>
      <c r="VUE34" s="707"/>
      <c r="VUF34" s="707"/>
      <c r="VUG34" s="707"/>
      <c r="VUH34" s="707"/>
      <c r="VUI34" s="707"/>
      <c r="VUJ34" s="707"/>
      <c r="VUK34" s="707"/>
      <c r="VUL34" s="707"/>
      <c r="VUM34" s="707"/>
      <c r="VUN34" s="707"/>
      <c r="VUO34" s="707"/>
      <c r="VUP34" s="707"/>
      <c r="VUQ34" s="707"/>
      <c r="VUR34" s="707"/>
      <c r="VUS34" s="707"/>
      <c r="VUT34" s="707"/>
      <c r="VUU34" s="707"/>
      <c r="VUV34" s="707"/>
      <c r="VUW34" s="707"/>
      <c r="VUX34" s="707"/>
      <c r="VUY34" s="707"/>
      <c r="VUZ34" s="707"/>
      <c r="VVA34" s="707"/>
      <c r="VVB34" s="707"/>
      <c r="VVC34" s="707"/>
      <c r="VVD34" s="707"/>
      <c r="VVE34" s="707"/>
      <c r="VVF34" s="707"/>
      <c r="VVG34" s="707"/>
      <c r="VVH34" s="707"/>
      <c r="VVI34" s="707"/>
      <c r="VVJ34" s="707"/>
      <c r="VVK34" s="707"/>
      <c r="VVL34" s="707"/>
      <c r="VVM34" s="707"/>
      <c r="VVN34" s="707"/>
      <c r="VVO34" s="707"/>
      <c r="VVP34" s="707"/>
      <c r="VVQ34" s="707"/>
      <c r="VVR34" s="707"/>
      <c r="VVS34" s="707"/>
      <c r="VVT34" s="707"/>
      <c r="VVU34" s="707"/>
      <c r="VVV34" s="707"/>
      <c r="VVW34" s="707"/>
      <c r="VVX34" s="707"/>
      <c r="VVY34" s="707"/>
      <c r="VVZ34" s="707"/>
      <c r="VWA34" s="707"/>
      <c r="VWB34" s="707"/>
      <c r="VWC34" s="707"/>
      <c r="VWD34" s="707"/>
      <c r="VWE34" s="707"/>
      <c r="VWF34" s="707"/>
      <c r="VWG34" s="707"/>
      <c r="VWH34" s="707"/>
      <c r="VWI34" s="707"/>
      <c r="VWJ34" s="707"/>
      <c r="VWK34" s="707"/>
      <c r="VWL34" s="707"/>
      <c r="VWM34" s="707"/>
      <c r="VWN34" s="707"/>
      <c r="VWO34" s="707"/>
      <c r="VWP34" s="707"/>
      <c r="VWQ34" s="707"/>
      <c r="VWR34" s="707"/>
      <c r="VWS34" s="707"/>
      <c r="VWT34" s="707"/>
      <c r="VWU34" s="707"/>
      <c r="VWV34" s="707"/>
      <c r="VWW34" s="707"/>
      <c r="VWX34" s="707"/>
      <c r="VWY34" s="707"/>
      <c r="VWZ34" s="707"/>
      <c r="VXA34" s="707"/>
      <c r="VXB34" s="707"/>
      <c r="VXC34" s="707"/>
      <c r="VXD34" s="707"/>
      <c r="VXE34" s="707"/>
      <c r="VXF34" s="707"/>
      <c r="VXG34" s="707"/>
      <c r="VXH34" s="707"/>
      <c r="VXI34" s="707"/>
      <c r="VXJ34" s="707"/>
      <c r="VXK34" s="707"/>
      <c r="VXL34" s="707"/>
      <c r="VXM34" s="707"/>
      <c r="VXN34" s="707"/>
      <c r="VXO34" s="707"/>
      <c r="VXP34" s="707"/>
      <c r="VXQ34" s="707"/>
      <c r="VXR34" s="707"/>
      <c r="VXS34" s="707"/>
      <c r="VXT34" s="707"/>
      <c r="VXU34" s="707"/>
      <c r="VXV34" s="707"/>
      <c r="VXW34" s="707"/>
      <c r="VXX34" s="707"/>
      <c r="VXY34" s="707"/>
      <c r="VXZ34" s="707"/>
      <c r="VYA34" s="707"/>
      <c r="VYB34" s="707"/>
      <c r="VYC34" s="707"/>
      <c r="VYD34" s="707"/>
      <c r="VYE34" s="707"/>
      <c r="VYF34" s="707"/>
      <c r="VYG34" s="707"/>
      <c r="VYH34" s="707"/>
      <c r="VYI34" s="707"/>
      <c r="VYJ34" s="707"/>
      <c r="VYK34" s="707"/>
      <c r="VYL34" s="707"/>
      <c r="VYM34" s="707"/>
      <c r="VYN34" s="707"/>
      <c r="VYO34" s="707"/>
      <c r="VYP34" s="707"/>
      <c r="VYQ34" s="707"/>
      <c r="VYR34" s="707"/>
      <c r="VYS34" s="707"/>
      <c r="VYT34" s="707"/>
      <c r="VYU34" s="707"/>
      <c r="VYV34" s="707"/>
      <c r="VYW34" s="707"/>
      <c r="VYX34" s="707"/>
      <c r="VYY34" s="707"/>
      <c r="VYZ34" s="707"/>
      <c r="VZA34" s="707"/>
      <c r="VZB34" s="707"/>
      <c r="VZC34" s="707"/>
      <c r="VZD34" s="707"/>
      <c r="VZE34" s="707"/>
      <c r="VZF34" s="707"/>
      <c r="VZG34" s="707"/>
      <c r="VZH34" s="707"/>
      <c r="VZI34" s="707"/>
      <c r="VZJ34" s="707"/>
      <c r="VZK34" s="707"/>
      <c r="VZL34" s="707"/>
      <c r="VZM34" s="707"/>
      <c r="VZN34" s="707"/>
      <c r="VZO34" s="707"/>
      <c r="VZP34" s="707"/>
      <c r="VZQ34" s="707"/>
      <c r="VZR34" s="707"/>
      <c r="VZS34" s="707"/>
      <c r="VZT34" s="707"/>
      <c r="VZU34" s="707"/>
      <c r="VZV34" s="707"/>
      <c r="VZW34" s="707"/>
      <c r="VZX34" s="707"/>
      <c r="VZY34" s="707"/>
      <c r="VZZ34" s="707"/>
      <c r="WAA34" s="707"/>
      <c r="WAB34" s="707"/>
      <c r="WAC34" s="707"/>
      <c r="WAD34" s="707"/>
      <c r="WAE34" s="707"/>
      <c r="WAF34" s="707"/>
      <c r="WAG34" s="707"/>
      <c r="WAH34" s="707"/>
      <c r="WAI34" s="707"/>
      <c r="WAJ34" s="707"/>
      <c r="WAK34" s="707"/>
      <c r="WAL34" s="707"/>
      <c r="WAM34" s="707"/>
      <c r="WAN34" s="707"/>
      <c r="WAO34" s="707"/>
      <c r="WAP34" s="707"/>
      <c r="WAQ34" s="707"/>
      <c r="WAR34" s="707"/>
      <c r="WAS34" s="707"/>
      <c r="WAT34" s="707"/>
      <c r="WAU34" s="707"/>
      <c r="WAV34" s="707"/>
      <c r="WAW34" s="707"/>
      <c r="WAX34" s="707"/>
      <c r="WAY34" s="707"/>
      <c r="WAZ34" s="707"/>
      <c r="WBA34" s="707"/>
      <c r="WBB34" s="707"/>
      <c r="WBC34" s="707"/>
      <c r="WBD34" s="707"/>
      <c r="WBE34" s="707"/>
      <c r="WBF34" s="707"/>
      <c r="WBG34" s="707"/>
      <c r="WBH34" s="707"/>
      <c r="WBI34" s="707"/>
      <c r="WBJ34" s="707"/>
      <c r="WBK34" s="707"/>
      <c r="WBL34" s="707"/>
      <c r="WBM34" s="707"/>
      <c r="WBN34" s="707"/>
      <c r="WBO34" s="707"/>
      <c r="WBP34" s="707"/>
      <c r="WBQ34" s="707"/>
      <c r="WBR34" s="707"/>
      <c r="WBS34" s="707"/>
      <c r="WBT34" s="707"/>
      <c r="WBU34" s="707"/>
      <c r="WBV34" s="707"/>
      <c r="WBW34" s="707"/>
      <c r="WBX34" s="707"/>
      <c r="WBY34" s="707"/>
      <c r="WBZ34" s="707"/>
      <c r="WCA34" s="707"/>
      <c r="WCB34" s="707"/>
      <c r="WCC34" s="707"/>
      <c r="WCD34" s="707"/>
      <c r="WCE34" s="707"/>
      <c r="WCF34" s="707"/>
      <c r="WCG34" s="707"/>
      <c r="WCH34" s="707"/>
      <c r="WCI34" s="707"/>
      <c r="WCJ34" s="707"/>
      <c r="WCK34" s="707"/>
      <c r="WCL34" s="707"/>
      <c r="WCM34" s="707"/>
      <c r="WCN34" s="707"/>
      <c r="WCO34" s="707"/>
      <c r="WCP34" s="707"/>
      <c r="WCQ34" s="707"/>
      <c r="WCR34" s="707"/>
      <c r="WCS34" s="707"/>
      <c r="WCT34" s="707"/>
      <c r="WCU34" s="707"/>
      <c r="WCV34" s="707"/>
      <c r="WCW34" s="707"/>
      <c r="WCX34" s="707"/>
      <c r="WCY34" s="707"/>
      <c r="WCZ34" s="707"/>
      <c r="WDA34" s="707"/>
      <c r="WDB34" s="707"/>
      <c r="WDC34" s="707"/>
      <c r="WDD34" s="707"/>
      <c r="WDE34" s="707"/>
      <c r="WDF34" s="707"/>
      <c r="WDG34" s="707"/>
      <c r="WDH34" s="707"/>
      <c r="WDI34" s="707"/>
      <c r="WDJ34" s="707"/>
      <c r="WDK34" s="707"/>
      <c r="WDL34" s="707"/>
      <c r="WDM34" s="707"/>
      <c r="WDN34" s="707"/>
      <c r="WDO34" s="707"/>
      <c r="WDP34" s="707"/>
      <c r="WDQ34" s="707"/>
      <c r="WDR34" s="707"/>
      <c r="WDS34" s="707"/>
      <c r="WDT34" s="707"/>
      <c r="WDU34" s="707"/>
      <c r="WDV34" s="707"/>
      <c r="WDW34" s="707"/>
      <c r="WDX34" s="707"/>
      <c r="WDY34" s="707"/>
      <c r="WDZ34" s="707"/>
      <c r="WEA34" s="707"/>
      <c r="WEB34" s="707"/>
      <c r="WEC34" s="707"/>
      <c r="WED34" s="707"/>
      <c r="WEE34" s="707"/>
      <c r="WEF34" s="707"/>
      <c r="WEG34" s="707"/>
      <c r="WEH34" s="707"/>
      <c r="WEI34" s="707"/>
      <c r="WEJ34" s="707"/>
      <c r="WEK34" s="707"/>
      <c r="WEL34" s="707"/>
      <c r="WEM34" s="707"/>
      <c r="WEN34" s="707"/>
      <c r="WEO34" s="707"/>
      <c r="WEP34" s="707"/>
      <c r="WEQ34" s="707"/>
      <c r="WER34" s="707"/>
      <c r="WES34" s="707"/>
      <c r="WET34" s="707"/>
      <c r="WEU34" s="707"/>
      <c r="WEV34" s="707"/>
      <c r="WEW34" s="707"/>
      <c r="WEX34" s="707"/>
      <c r="WEY34" s="707"/>
      <c r="WEZ34" s="707"/>
      <c r="WFA34" s="707"/>
      <c r="WFB34" s="707"/>
      <c r="WFC34" s="707"/>
      <c r="WFD34" s="707"/>
      <c r="WFE34" s="707"/>
      <c r="WFF34" s="707"/>
      <c r="WFG34" s="707"/>
      <c r="WFH34" s="707"/>
      <c r="WFI34" s="707"/>
      <c r="WFJ34" s="707"/>
      <c r="WFK34" s="707"/>
      <c r="WFL34" s="707"/>
      <c r="WFM34" s="707"/>
      <c r="WFN34" s="707"/>
      <c r="WFO34" s="707"/>
      <c r="WFP34" s="707"/>
      <c r="WFQ34" s="707"/>
      <c r="WFR34" s="707"/>
      <c r="WFS34" s="707"/>
      <c r="WFT34" s="707"/>
      <c r="WFU34" s="707"/>
      <c r="WFV34" s="707"/>
      <c r="WFW34" s="707"/>
      <c r="WFX34" s="707"/>
      <c r="WFY34" s="707"/>
      <c r="WFZ34" s="707"/>
      <c r="WGA34" s="707"/>
      <c r="WGB34" s="707"/>
      <c r="WGC34" s="707"/>
      <c r="WGD34" s="707"/>
      <c r="WGE34" s="707"/>
      <c r="WGF34" s="707"/>
      <c r="WGG34" s="707"/>
      <c r="WGH34" s="707"/>
      <c r="WGI34" s="707"/>
      <c r="WGJ34" s="707"/>
      <c r="WGK34" s="707"/>
      <c r="WGL34" s="707"/>
      <c r="WGM34" s="707"/>
      <c r="WGN34" s="707"/>
      <c r="WGO34" s="707"/>
      <c r="WGP34" s="707"/>
      <c r="WGQ34" s="707"/>
      <c r="WGR34" s="707"/>
      <c r="WGS34" s="707"/>
      <c r="WGT34" s="707"/>
      <c r="WGU34" s="707"/>
      <c r="WGV34" s="707"/>
      <c r="WGW34" s="707"/>
      <c r="WGX34" s="707"/>
      <c r="WGY34" s="707"/>
      <c r="WGZ34" s="707"/>
      <c r="WHA34" s="707"/>
      <c r="WHB34" s="707"/>
      <c r="WHC34" s="707"/>
      <c r="WHD34" s="707"/>
      <c r="WHE34" s="707"/>
      <c r="WHF34" s="707"/>
      <c r="WHG34" s="707"/>
      <c r="WHH34" s="707"/>
      <c r="WHI34" s="707"/>
      <c r="WHJ34" s="707"/>
      <c r="WHK34" s="707"/>
      <c r="WHL34" s="707"/>
      <c r="WHM34" s="707"/>
      <c r="WHN34" s="707"/>
      <c r="WHO34" s="707"/>
      <c r="WHP34" s="707"/>
      <c r="WHQ34" s="707"/>
      <c r="WHR34" s="707"/>
      <c r="WHS34" s="707"/>
      <c r="WHT34" s="707"/>
      <c r="WHU34" s="707"/>
      <c r="WHV34" s="707"/>
      <c r="WHW34" s="707"/>
      <c r="WHX34" s="707"/>
      <c r="WHY34" s="707"/>
      <c r="WHZ34" s="707"/>
      <c r="WIA34" s="707"/>
      <c r="WIB34" s="707"/>
      <c r="WIC34" s="707"/>
      <c r="WID34" s="707"/>
      <c r="WIE34" s="707"/>
      <c r="WIF34" s="707"/>
      <c r="WIG34" s="707"/>
      <c r="WIH34" s="707"/>
      <c r="WII34" s="707"/>
      <c r="WIJ34" s="707"/>
      <c r="WIK34" s="707"/>
      <c r="WIL34" s="707"/>
      <c r="WIM34" s="707"/>
      <c r="WIN34" s="707"/>
      <c r="WIO34" s="707"/>
      <c r="WIP34" s="707"/>
      <c r="WIQ34" s="707"/>
      <c r="WIR34" s="707"/>
      <c r="WIS34" s="707"/>
      <c r="WIT34" s="707"/>
      <c r="WIU34" s="707"/>
      <c r="WIV34" s="707"/>
      <c r="WIW34" s="707"/>
      <c r="WIX34" s="707"/>
      <c r="WIY34" s="707"/>
      <c r="WIZ34" s="707"/>
      <c r="WJA34" s="707"/>
      <c r="WJB34" s="707"/>
      <c r="WJC34" s="707"/>
      <c r="WJD34" s="707"/>
      <c r="WJE34" s="707"/>
      <c r="WJF34" s="707"/>
      <c r="WJG34" s="707"/>
      <c r="WJH34" s="707"/>
      <c r="WJI34" s="707"/>
      <c r="WJJ34" s="707"/>
      <c r="WJK34" s="707"/>
      <c r="WJL34" s="707"/>
      <c r="WJM34" s="707"/>
      <c r="WJN34" s="707"/>
      <c r="WJO34" s="707"/>
      <c r="WJP34" s="707"/>
      <c r="WJQ34" s="707"/>
      <c r="WJR34" s="707"/>
      <c r="WJS34" s="707"/>
      <c r="WJT34" s="707"/>
      <c r="WJU34" s="707"/>
      <c r="WJV34" s="707"/>
      <c r="WJW34" s="707"/>
      <c r="WJX34" s="707"/>
      <c r="WJY34" s="707"/>
      <c r="WJZ34" s="707"/>
      <c r="WKA34" s="707"/>
      <c r="WKB34" s="707"/>
      <c r="WKC34" s="707"/>
      <c r="WKD34" s="707"/>
      <c r="WKE34" s="707"/>
      <c r="WKF34" s="707"/>
      <c r="WKG34" s="707"/>
      <c r="WKH34" s="707"/>
      <c r="WKI34" s="707"/>
      <c r="WKJ34" s="707"/>
      <c r="WKK34" s="707"/>
      <c r="WKL34" s="707"/>
      <c r="WKM34" s="707"/>
      <c r="WKN34" s="707"/>
      <c r="WKO34" s="707"/>
      <c r="WKP34" s="707"/>
      <c r="WKQ34" s="707"/>
      <c r="WKR34" s="707"/>
      <c r="WKS34" s="707"/>
      <c r="WKT34" s="707"/>
      <c r="WKU34" s="707"/>
      <c r="WKV34" s="707"/>
      <c r="WKW34" s="707"/>
      <c r="WKX34" s="707"/>
      <c r="WKY34" s="707"/>
      <c r="WKZ34" s="707"/>
      <c r="WLA34" s="707"/>
      <c r="WLB34" s="707"/>
      <c r="WLC34" s="707"/>
      <c r="WLD34" s="707"/>
      <c r="WLE34" s="707"/>
      <c r="WLF34" s="707"/>
      <c r="WLG34" s="707"/>
      <c r="WLH34" s="707"/>
      <c r="WLI34" s="707"/>
      <c r="WLJ34" s="707"/>
      <c r="WLK34" s="707"/>
      <c r="WLL34" s="707"/>
      <c r="WLM34" s="707"/>
      <c r="WLN34" s="707"/>
      <c r="WLO34" s="707"/>
      <c r="WLP34" s="707"/>
      <c r="WLQ34" s="707"/>
      <c r="WLR34" s="707"/>
      <c r="WLS34" s="707"/>
      <c r="WLT34" s="707"/>
      <c r="WLU34" s="707"/>
      <c r="WLV34" s="707"/>
      <c r="WLW34" s="707"/>
      <c r="WLX34" s="707"/>
      <c r="WLY34" s="707"/>
      <c r="WLZ34" s="707"/>
      <c r="WMA34" s="707"/>
      <c r="WMB34" s="707"/>
      <c r="WMC34" s="707"/>
      <c r="WMD34" s="707"/>
      <c r="WME34" s="707"/>
      <c r="WMF34" s="707"/>
      <c r="WMG34" s="707"/>
      <c r="WMH34" s="707"/>
      <c r="WMI34" s="707"/>
      <c r="WMJ34" s="707"/>
      <c r="WMK34" s="707"/>
      <c r="WML34" s="707"/>
      <c r="WMM34" s="707"/>
      <c r="WMN34" s="707"/>
      <c r="WMO34" s="707"/>
      <c r="WMP34" s="707"/>
      <c r="WMQ34" s="707"/>
      <c r="WMR34" s="707"/>
      <c r="WMS34" s="707"/>
      <c r="WMT34" s="707"/>
      <c r="WMU34" s="707"/>
      <c r="WMV34" s="707"/>
      <c r="WMW34" s="707"/>
      <c r="WMX34" s="707"/>
      <c r="WMY34" s="707"/>
      <c r="WMZ34" s="707"/>
      <c r="WNA34" s="707"/>
      <c r="WNB34" s="707"/>
      <c r="WNC34" s="707"/>
      <c r="WND34" s="707"/>
      <c r="WNE34" s="707"/>
      <c r="WNF34" s="707"/>
      <c r="WNG34" s="707"/>
      <c r="WNH34" s="707"/>
      <c r="WNI34" s="707"/>
      <c r="WNJ34" s="707"/>
      <c r="WNK34" s="707"/>
      <c r="WNL34" s="707"/>
      <c r="WNM34" s="707"/>
      <c r="WNN34" s="707"/>
      <c r="WNO34" s="707"/>
      <c r="WNP34" s="707"/>
      <c r="WNQ34" s="707"/>
      <c r="WNR34" s="707"/>
      <c r="WNS34" s="707"/>
      <c r="WNT34" s="707"/>
      <c r="WNU34" s="707"/>
      <c r="WNV34" s="707"/>
      <c r="WNW34" s="707"/>
      <c r="WNX34" s="707"/>
      <c r="WNY34" s="707"/>
      <c r="WNZ34" s="707"/>
      <c r="WOA34" s="707"/>
      <c r="WOB34" s="707"/>
      <c r="WOC34" s="707"/>
      <c r="WOD34" s="707"/>
      <c r="WOE34" s="707"/>
      <c r="WOF34" s="707"/>
      <c r="WOG34" s="707"/>
      <c r="WOH34" s="707"/>
      <c r="WOI34" s="707"/>
      <c r="WOJ34" s="707"/>
      <c r="WOK34" s="707"/>
      <c r="WOL34" s="707"/>
      <c r="WOM34" s="707"/>
      <c r="WON34" s="707"/>
      <c r="WOO34" s="707"/>
      <c r="WOP34" s="707"/>
      <c r="WOQ34" s="707"/>
      <c r="WOR34" s="707"/>
      <c r="WOS34" s="707"/>
      <c r="WOT34" s="707"/>
      <c r="WOU34" s="707"/>
      <c r="WOV34" s="707"/>
      <c r="WOW34" s="707"/>
      <c r="WOX34" s="707"/>
      <c r="WOY34" s="707"/>
      <c r="WOZ34" s="707"/>
      <c r="WPA34" s="707"/>
      <c r="WPB34" s="707"/>
      <c r="WPC34" s="707"/>
      <c r="WPD34" s="707"/>
      <c r="WPE34" s="707"/>
      <c r="WPF34" s="707"/>
      <c r="WPG34" s="707"/>
      <c r="WPH34" s="707"/>
      <c r="WPI34" s="707"/>
      <c r="WPJ34" s="707"/>
      <c r="WPK34" s="707"/>
      <c r="WPL34" s="707"/>
      <c r="WPM34" s="707"/>
      <c r="WPN34" s="707"/>
      <c r="WPO34" s="707"/>
      <c r="WPP34" s="707"/>
      <c r="WPQ34" s="707"/>
      <c r="WPR34" s="707"/>
      <c r="WPS34" s="707"/>
      <c r="WPT34" s="707"/>
      <c r="WPU34" s="707"/>
      <c r="WPV34" s="707"/>
      <c r="WPW34" s="707"/>
      <c r="WPX34" s="707"/>
      <c r="WPY34" s="707"/>
      <c r="WPZ34" s="707"/>
      <c r="WQA34" s="707"/>
      <c r="WQB34" s="707"/>
      <c r="WQC34" s="707"/>
      <c r="WQD34" s="707"/>
      <c r="WQE34" s="707"/>
      <c r="WQF34" s="707"/>
      <c r="WQG34" s="707"/>
      <c r="WQH34" s="707"/>
      <c r="WQI34" s="707"/>
      <c r="WQJ34" s="707"/>
      <c r="WQK34" s="707"/>
      <c r="WQL34" s="707"/>
      <c r="WQM34" s="707"/>
      <c r="WQN34" s="707"/>
      <c r="WQO34" s="707"/>
      <c r="WQP34" s="707"/>
      <c r="WQQ34" s="707"/>
      <c r="WQR34" s="707"/>
      <c r="WQS34" s="707"/>
      <c r="WQT34" s="707"/>
      <c r="WQU34" s="707"/>
      <c r="WQV34" s="707"/>
      <c r="WQW34" s="707"/>
      <c r="WQX34" s="707"/>
      <c r="WQY34" s="707"/>
      <c r="WQZ34" s="707"/>
      <c r="WRA34" s="707"/>
      <c r="WRB34" s="707"/>
      <c r="WRC34" s="707"/>
      <c r="WRD34" s="707"/>
      <c r="WRE34" s="707"/>
      <c r="WRF34" s="707"/>
      <c r="WRG34" s="707"/>
      <c r="WRH34" s="707"/>
      <c r="WRI34" s="707"/>
      <c r="WRJ34" s="707"/>
      <c r="WRK34" s="707"/>
      <c r="WRL34" s="707"/>
      <c r="WRM34" s="707"/>
      <c r="WRN34" s="707"/>
      <c r="WRO34" s="707"/>
      <c r="WRP34" s="707"/>
      <c r="WRQ34" s="707"/>
      <c r="WRR34" s="707"/>
      <c r="WRS34" s="707"/>
      <c r="WRT34" s="707"/>
      <c r="WRU34" s="707"/>
      <c r="WRV34" s="707"/>
      <c r="WRW34" s="707"/>
      <c r="WRX34" s="707"/>
      <c r="WRY34" s="707"/>
      <c r="WRZ34" s="707"/>
      <c r="WSA34" s="707"/>
      <c r="WSB34" s="707"/>
      <c r="WSC34" s="707"/>
      <c r="WSD34" s="707"/>
      <c r="WSE34" s="707"/>
      <c r="WSF34" s="707"/>
      <c r="WSG34" s="707"/>
      <c r="WSH34" s="707"/>
      <c r="WSI34" s="707"/>
      <c r="WSJ34" s="707"/>
      <c r="WSK34" s="707"/>
      <c r="WSL34" s="707"/>
      <c r="WSM34" s="707"/>
      <c r="WSN34" s="707"/>
      <c r="WSO34" s="707"/>
      <c r="WSP34" s="707"/>
      <c r="WSQ34" s="707"/>
      <c r="WSR34" s="707"/>
      <c r="WSS34" s="707"/>
      <c r="WST34" s="707"/>
      <c r="WSU34" s="707"/>
      <c r="WSV34" s="707"/>
      <c r="WSW34" s="707"/>
      <c r="WSX34" s="707"/>
      <c r="WSY34" s="707"/>
      <c r="WSZ34" s="707"/>
      <c r="WTA34" s="707"/>
      <c r="WTB34" s="707"/>
      <c r="WTC34" s="707"/>
      <c r="WTD34" s="707"/>
      <c r="WTE34" s="707"/>
      <c r="WTF34" s="707"/>
      <c r="WTG34" s="707"/>
      <c r="WTH34" s="707"/>
      <c r="WTI34" s="707"/>
      <c r="WTJ34" s="707"/>
      <c r="WTK34" s="707"/>
      <c r="WTL34" s="707"/>
      <c r="WTM34" s="707"/>
      <c r="WTN34" s="707"/>
      <c r="WTO34" s="707"/>
      <c r="WTP34" s="707"/>
      <c r="WTQ34" s="707"/>
      <c r="WTR34" s="707"/>
      <c r="WTS34" s="707"/>
      <c r="WTT34" s="707"/>
      <c r="WTU34" s="707"/>
      <c r="WTV34" s="707"/>
      <c r="WTW34" s="707"/>
      <c r="WTX34" s="707"/>
      <c r="WTY34" s="707"/>
      <c r="WTZ34" s="707"/>
      <c r="WUA34" s="707"/>
      <c r="WUB34" s="707"/>
      <c r="WUC34" s="707"/>
      <c r="WUD34" s="707"/>
      <c r="WUE34" s="707"/>
      <c r="WUF34" s="707"/>
      <c r="WUG34" s="707"/>
      <c r="WUH34" s="707"/>
      <c r="WUI34" s="707"/>
      <c r="WUJ34" s="707"/>
      <c r="WUK34" s="707"/>
      <c r="WUL34" s="707"/>
      <c r="WUM34" s="707"/>
      <c r="WUN34" s="707"/>
      <c r="WUO34" s="707"/>
      <c r="WUP34" s="707"/>
      <c r="WUQ34" s="707"/>
      <c r="WUR34" s="707"/>
      <c r="WUS34" s="707"/>
      <c r="WUT34" s="707"/>
      <c r="WUU34" s="707"/>
      <c r="WUV34" s="707"/>
      <c r="WUW34" s="707"/>
      <c r="WUX34" s="707"/>
      <c r="WUY34" s="707"/>
      <c r="WUZ34" s="707"/>
      <c r="WVA34" s="707"/>
      <c r="WVB34" s="707"/>
      <c r="WVC34" s="707"/>
      <c r="WVD34" s="707"/>
      <c r="WVE34" s="707"/>
      <c r="WVF34" s="707"/>
      <c r="WVG34" s="707"/>
      <c r="WVH34" s="707"/>
      <c r="WVI34" s="707"/>
      <c r="WVJ34" s="707"/>
      <c r="WVK34" s="707"/>
      <c r="WVL34" s="707"/>
      <c r="WVM34" s="707"/>
      <c r="WVN34" s="707"/>
      <c r="WVO34" s="707"/>
      <c r="WVP34" s="707"/>
      <c r="WVQ34" s="707"/>
      <c r="WVR34" s="707"/>
      <c r="WVS34" s="707"/>
      <c r="WVT34" s="707"/>
      <c r="WVU34" s="707"/>
      <c r="WVV34" s="707"/>
      <c r="WVW34" s="707"/>
      <c r="WVX34" s="707"/>
      <c r="WVY34" s="707"/>
      <c r="WVZ34" s="707"/>
      <c r="WWA34" s="707"/>
      <c r="WWB34" s="707"/>
      <c r="WWC34" s="707"/>
      <c r="WWD34" s="707"/>
      <c r="WWE34" s="707"/>
      <c r="WWF34" s="707"/>
      <c r="WWG34" s="707"/>
      <c r="WWH34" s="707"/>
      <c r="WWI34" s="707"/>
      <c r="WWJ34" s="707"/>
      <c r="WWK34" s="707"/>
      <c r="WWL34" s="707"/>
      <c r="WWM34" s="707"/>
      <c r="WWN34" s="707"/>
      <c r="WWO34" s="707"/>
      <c r="WWP34" s="707"/>
      <c r="WWQ34" s="707"/>
      <c r="WWR34" s="707"/>
      <c r="WWS34" s="707"/>
      <c r="WWT34" s="707"/>
      <c r="WWU34" s="707"/>
      <c r="WWV34" s="707"/>
      <c r="WWW34" s="707"/>
      <c r="WWX34" s="707"/>
      <c r="WWY34" s="707"/>
      <c r="WWZ34" s="707"/>
      <c r="WXA34" s="707"/>
      <c r="WXB34" s="707"/>
      <c r="WXC34" s="707"/>
      <c r="WXD34" s="707"/>
      <c r="WXE34" s="707"/>
      <c r="WXF34" s="707"/>
      <c r="WXG34" s="707"/>
      <c r="WXH34" s="707"/>
      <c r="WXI34" s="707"/>
      <c r="WXJ34" s="707"/>
      <c r="WXK34" s="707"/>
      <c r="WXL34" s="707"/>
      <c r="WXM34" s="707"/>
      <c r="WXN34" s="707"/>
      <c r="WXO34" s="707"/>
      <c r="WXP34" s="707"/>
      <c r="WXQ34" s="707"/>
      <c r="WXR34" s="707"/>
      <c r="WXS34" s="707"/>
      <c r="WXT34" s="707"/>
      <c r="WXU34" s="707"/>
      <c r="WXV34" s="707"/>
      <c r="WXW34" s="707"/>
      <c r="WXX34" s="707"/>
      <c r="WXY34" s="707"/>
      <c r="WXZ34" s="707"/>
      <c r="WYA34" s="707"/>
      <c r="WYB34" s="707"/>
      <c r="WYC34" s="707"/>
      <c r="WYD34" s="707"/>
      <c r="WYE34" s="707"/>
      <c r="WYF34" s="707"/>
      <c r="WYG34" s="707"/>
      <c r="WYH34" s="707"/>
      <c r="WYI34" s="707"/>
      <c r="WYJ34" s="707"/>
      <c r="WYK34" s="707"/>
      <c r="WYL34" s="707"/>
      <c r="WYM34" s="707"/>
      <c r="WYN34" s="707"/>
      <c r="WYO34" s="707"/>
      <c r="WYP34" s="707"/>
      <c r="WYQ34" s="707"/>
      <c r="WYR34" s="707"/>
      <c r="WYS34" s="707"/>
      <c r="WYT34" s="707"/>
      <c r="WYU34" s="707"/>
      <c r="WYV34" s="707"/>
      <c r="WYW34" s="707"/>
      <c r="WYX34" s="707"/>
      <c r="WYY34" s="707"/>
      <c r="WYZ34" s="707"/>
      <c r="WZA34" s="707"/>
      <c r="WZB34" s="707"/>
      <c r="WZC34" s="707"/>
      <c r="WZD34" s="707"/>
      <c r="WZE34" s="707"/>
      <c r="WZF34" s="707"/>
      <c r="WZG34" s="707"/>
      <c r="WZH34" s="707"/>
      <c r="WZI34" s="707"/>
      <c r="WZJ34" s="707"/>
      <c r="WZK34" s="707"/>
      <c r="WZL34" s="707"/>
      <c r="WZM34" s="707"/>
      <c r="WZN34" s="707"/>
      <c r="WZO34" s="707"/>
      <c r="WZP34" s="707"/>
      <c r="WZQ34" s="707"/>
      <c r="WZR34" s="707"/>
      <c r="WZS34" s="707"/>
      <c r="WZT34" s="707"/>
      <c r="WZU34" s="707"/>
      <c r="WZV34" s="707"/>
      <c r="WZW34" s="707"/>
      <c r="WZX34" s="707"/>
      <c r="WZY34" s="707"/>
      <c r="WZZ34" s="707"/>
      <c r="XAA34" s="707"/>
      <c r="XAB34" s="707"/>
      <c r="XAC34" s="707"/>
      <c r="XAD34" s="707"/>
      <c r="XAE34" s="707"/>
      <c r="XAF34" s="707"/>
      <c r="XAG34" s="707"/>
      <c r="XAH34" s="707"/>
      <c r="XAI34" s="707"/>
      <c r="XAJ34" s="707"/>
      <c r="XAK34" s="707"/>
      <c r="XAL34" s="707"/>
      <c r="XAM34" s="707"/>
      <c r="XAN34" s="707"/>
      <c r="XAO34" s="707"/>
      <c r="XAP34" s="707"/>
      <c r="XAQ34" s="707"/>
      <c r="XAR34" s="707"/>
      <c r="XAS34" s="707"/>
      <c r="XAT34" s="707"/>
      <c r="XAU34" s="707"/>
      <c r="XAV34" s="707"/>
      <c r="XAW34" s="707"/>
      <c r="XAX34" s="707"/>
      <c r="XAY34" s="707"/>
      <c r="XAZ34" s="707"/>
      <c r="XBA34" s="707"/>
      <c r="XBB34" s="707"/>
      <c r="XBC34" s="707"/>
      <c r="XBD34" s="707"/>
      <c r="XBE34" s="707"/>
      <c r="XBF34" s="707"/>
      <c r="XBG34" s="707"/>
      <c r="XBH34" s="707"/>
      <c r="XBI34" s="707"/>
      <c r="XBJ34" s="707"/>
      <c r="XBK34" s="707"/>
      <c r="XBL34" s="707"/>
      <c r="XBM34" s="707"/>
      <c r="XBN34" s="707"/>
      <c r="XBO34" s="707"/>
      <c r="XBP34" s="707"/>
      <c r="XBQ34" s="707"/>
      <c r="XBR34" s="707"/>
      <c r="XBS34" s="707"/>
      <c r="XBT34" s="707"/>
      <c r="XBU34" s="707"/>
      <c r="XBV34" s="707"/>
      <c r="XBW34" s="707"/>
      <c r="XBX34" s="707"/>
      <c r="XBY34" s="707"/>
      <c r="XBZ34" s="707"/>
      <c r="XCA34" s="707"/>
      <c r="XCB34" s="707"/>
      <c r="XCC34" s="707"/>
      <c r="XCD34" s="707"/>
      <c r="XCE34" s="707"/>
      <c r="XCF34" s="707"/>
      <c r="XCG34" s="707"/>
      <c r="XCH34" s="707"/>
      <c r="XCI34" s="707"/>
      <c r="XCJ34" s="707"/>
      <c r="XCK34" s="707"/>
      <c r="XCL34" s="707"/>
      <c r="XCM34" s="707"/>
      <c r="XCN34" s="707"/>
      <c r="XCO34" s="707"/>
      <c r="XCP34" s="707"/>
      <c r="XCQ34" s="707"/>
      <c r="XCR34" s="707"/>
      <c r="XCS34" s="707"/>
      <c r="XCT34" s="707"/>
      <c r="XCU34" s="707"/>
      <c r="XCV34" s="707"/>
      <c r="XCW34" s="707"/>
      <c r="XCX34" s="707"/>
      <c r="XCY34" s="707"/>
      <c r="XCZ34" s="707"/>
      <c r="XDA34" s="707"/>
      <c r="XDB34" s="707"/>
      <c r="XDC34" s="707"/>
      <c r="XDD34" s="707"/>
      <c r="XDE34" s="707"/>
      <c r="XDF34" s="707"/>
      <c r="XDG34" s="707"/>
      <c r="XDH34" s="707"/>
      <c r="XDI34" s="707"/>
      <c r="XDJ34" s="707"/>
      <c r="XDK34" s="707"/>
      <c r="XDL34" s="707"/>
      <c r="XDM34" s="707"/>
      <c r="XDN34" s="707"/>
      <c r="XDO34" s="707"/>
      <c r="XDP34" s="707"/>
      <c r="XDQ34" s="707"/>
      <c r="XDR34" s="707"/>
      <c r="XDS34" s="707"/>
      <c r="XDT34" s="707"/>
      <c r="XDU34" s="707"/>
      <c r="XDV34" s="707"/>
      <c r="XDW34" s="707"/>
      <c r="XDX34" s="707"/>
      <c r="XDY34" s="707"/>
      <c r="XDZ34" s="707"/>
      <c r="XEA34" s="707"/>
      <c r="XEB34" s="707"/>
      <c r="XEC34" s="707"/>
      <c r="XED34" s="707"/>
      <c r="XEE34" s="707"/>
      <c r="XEF34" s="707"/>
      <c r="XEG34" s="707"/>
      <c r="XEH34" s="707"/>
      <c r="XEI34" s="707"/>
      <c r="XEJ34" s="707"/>
      <c r="XEK34" s="707"/>
      <c r="XEL34" s="707"/>
      <c r="XEM34" s="707"/>
      <c r="XEN34" s="707"/>
      <c r="XEO34" s="707"/>
      <c r="XEP34" s="707"/>
      <c r="XEQ34" s="707"/>
      <c r="XER34" s="707"/>
      <c r="XES34" s="707"/>
      <c r="XET34" s="707"/>
      <c r="XEU34" s="707"/>
      <c r="XEV34" s="707"/>
      <c r="XEW34" s="707"/>
      <c r="XEX34" s="707"/>
      <c r="XEY34" s="707"/>
      <c r="XEZ34" s="707"/>
      <c r="XFA34" s="707"/>
    </row>
    <row r="35" spans="1:16381" ht="68.25" customHeight="1">
      <c r="A35" s="646" t="s">
        <v>199</v>
      </c>
      <c r="B35" s="653" t="s">
        <v>270</v>
      </c>
      <c r="C35" s="647"/>
      <c r="D35" s="647"/>
      <c r="E35" s="647"/>
      <c r="F35" s="647"/>
      <c r="G35" s="647"/>
      <c r="H35" s="647"/>
      <c r="I35" s="647"/>
      <c r="J35" s="647"/>
      <c r="K35" s="647"/>
      <c r="L35" s="647"/>
      <c r="M35" s="647"/>
      <c r="N35" s="647"/>
      <c r="O35" s="646"/>
      <c r="P35" s="646"/>
      <c r="Q35" s="646"/>
      <c r="R35" s="646"/>
      <c r="S35" s="707"/>
      <c r="T35" s="707"/>
      <c r="U35" s="707"/>
      <c r="V35" s="707"/>
      <c r="W35" s="707"/>
      <c r="X35" s="707"/>
      <c r="Y35" s="707"/>
      <c r="Z35" s="707"/>
      <c r="AA35" s="707"/>
      <c r="AB35" s="707"/>
      <c r="AC35" s="707"/>
      <c r="AD35" s="707"/>
      <c r="AE35" s="707"/>
      <c r="AF35" s="707"/>
      <c r="AG35" s="707"/>
      <c r="AH35" s="12"/>
      <c r="AI35" s="263"/>
      <c r="AJ35" s="12"/>
      <c r="AK35" s="563"/>
      <c r="AL35" s="7"/>
      <c r="AM35" s="404"/>
      <c r="AN35" s="404"/>
      <c r="AO35" s="404"/>
      <c r="AP35" s="404"/>
      <c r="AQ35" s="404"/>
      <c r="AR35" s="565"/>
      <c r="AS35" s="565"/>
      <c r="AT35" s="565"/>
      <c r="AU35" s="565"/>
      <c r="AV35" s="565"/>
      <c r="AW35" s="565"/>
      <c r="AX35" s="707"/>
      <c r="AY35" s="707"/>
      <c r="AZ35" s="707"/>
      <c r="BA35" s="707"/>
      <c r="BB35" s="707"/>
      <c r="BC35" s="707"/>
      <c r="BD35" s="707"/>
      <c r="BE35" s="707"/>
      <c r="BF35" s="707"/>
      <c r="BG35" s="707"/>
      <c r="BH35" s="707"/>
      <c r="BI35" s="707"/>
      <c r="BJ35" s="707"/>
      <c r="BK35" s="707"/>
      <c r="BL35" s="707"/>
      <c r="BM35" s="707"/>
      <c r="BN35" s="707"/>
      <c r="BO35" s="707"/>
      <c r="BP35" s="707"/>
      <c r="BQ35" s="707"/>
      <c r="BR35" s="707"/>
      <c r="BS35" s="707"/>
      <c r="BT35" s="707"/>
      <c r="BU35" s="707"/>
      <c r="BV35" s="707"/>
      <c r="BW35" s="707"/>
      <c r="BX35" s="707"/>
      <c r="BY35" s="707"/>
      <c r="BZ35" s="707"/>
      <c r="CA35" s="707"/>
      <c r="CB35" s="707"/>
      <c r="CC35" s="707"/>
      <c r="CD35" s="707"/>
      <c r="CE35" s="707"/>
      <c r="CF35" s="707"/>
      <c r="CG35" s="707"/>
      <c r="CH35" s="707"/>
      <c r="CI35" s="707"/>
      <c r="CJ35" s="707"/>
      <c r="CK35" s="707"/>
      <c r="CL35" s="707"/>
      <c r="CM35" s="707"/>
      <c r="CN35" s="707"/>
      <c r="CO35" s="707"/>
      <c r="CP35" s="707"/>
      <c r="CQ35" s="707"/>
      <c r="CR35" s="707"/>
      <c r="CS35" s="707"/>
      <c r="CT35" s="707"/>
      <c r="CU35" s="707"/>
      <c r="CV35" s="707"/>
      <c r="CW35" s="707"/>
      <c r="CX35" s="707"/>
      <c r="CY35" s="707"/>
      <c r="CZ35" s="707"/>
      <c r="DA35" s="707"/>
      <c r="DB35" s="707"/>
      <c r="DC35" s="707"/>
      <c r="DD35" s="707"/>
      <c r="DE35" s="707"/>
      <c r="DF35" s="707"/>
      <c r="DG35" s="707"/>
      <c r="DH35" s="707"/>
      <c r="DI35" s="707"/>
      <c r="DJ35" s="707"/>
      <c r="DK35" s="707"/>
      <c r="DL35" s="707"/>
      <c r="DM35" s="707"/>
      <c r="DN35" s="707"/>
      <c r="DO35" s="707"/>
      <c r="DP35" s="707"/>
      <c r="DQ35" s="707"/>
      <c r="DR35" s="707"/>
      <c r="DS35" s="707"/>
      <c r="DT35" s="707"/>
      <c r="DU35" s="707"/>
      <c r="DV35" s="707"/>
      <c r="DW35" s="707"/>
      <c r="DX35" s="707"/>
      <c r="DY35" s="707"/>
      <c r="DZ35" s="707"/>
      <c r="EA35" s="707"/>
      <c r="EB35" s="707"/>
      <c r="EC35" s="707"/>
      <c r="ED35" s="707"/>
      <c r="EE35" s="707"/>
      <c r="EF35" s="707"/>
      <c r="EG35" s="707"/>
      <c r="EH35" s="707"/>
      <c r="EI35" s="707"/>
      <c r="EJ35" s="707"/>
      <c r="EK35" s="707"/>
      <c r="EL35" s="707"/>
      <c r="EM35" s="707"/>
      <c r="EN35" s="707"/>
      <c r="EO35" s="707"/>
      <c r="EP35" s="707"/>
      <c r="EQ35" s="707"/>
      <c r="ER35" s="707"/>
      <c r="ES35" s="707"/>
      <c r="ET35" s="707"/>
      <c r="EU35" s="707"/>
      <c r="EV35" s="707"/>
      <c r="EW35" s="707"/>
      <c r="EX35" s="707"/>
      <c r="EY35" s="707"/>
      <c r="EZ35" s="707"/>
      <c r="FA35" s="707"/>
      <c r="FB35" s="707"/>
      <c r="FC35" s="707"/>
      <c r="FD35" s="707"/>
      <c r="FE35" s="707"/>
      <c r="FF35" s="707"/>
      <c r="FG35" s="707"/>
      <c r="FH35" s="707"/>
      <c r="FI35" s="707"/>
      <c r="FJ35" s="707"/>
      <c r="FK35" s="707"/>
      <c r="FL35" s="707"/>
      <c r="FM35" s="707"/>
      <c r="FN35" s="707"/>
      <c r="FO35" s="707"/>
      <c r="FP35" s="707"/>
      <c r="FQ35" s="707"/>
      <c r="FR35" s="707"/>
      <c r="FS35" s="707"/>
      <c r="FT35" s="707"/>
      <c r="FU35" s="707"/>
      <c r="FV35" s="707"/>
      <c r="FW35" s="707"/>
      <c r="FX35" s="707"/>
      <c r="FY35" s="707"/>
      <c r="FZ35" s="707"/>
      <c r="GA35" s="707"/>
      <c r="GB35" s="707"/>
      <c r="GC35" s="707"/>
      <c r="GD35" s="707"/>
      <c r="GE35" s="707"/>
      <c r="GF35" s="707"/>
      <c r="GG35" s="707"/>
      <c r="GH35" s="707"/>
      <c r="GI35" s="707"/>
      <c r="GJ35" s="707"/>
      <c r="GK35" s="707"/>
      <c r="GL35" s="707"/>
      <c r="GM35" s="707"/>
      <c r="GN35" s="707"/>
      <c r="GO35" s="707"/>
      <c r="GP35" s="707"/>
      <c r="GQ35" s="707"/>
      <c r="GR35" s="707"/>
      <c r="GS35" s="707"/>
      <c r="GT35" s="707"/>
      <c r="GU35" s="707"/>
      <c r="GV35" s="707"/>
      <c r="GW35" s="707"/>
      <c r="GX35" s="707"/>
      <c r="GY35" s="707"/>
      <c r="GZ35" s="707"/>
      <c r="HA35" s="707"/>
      <c r="HB35" s="707"/>
      <c r="HC35" s="707"/>
      <c r="HD35" s="707"/>
      <c r="HE35" s="707"/>
      <c r="HF35" s="707"/>
      <c r="HG35" s="707"/>
      <c r="HH35" s="707"/>
      <c r="HI35" s="707"/>
      <c r="HJ35" s="707"/>
      <c r="HK35" s="707"/>
      <c r="HL35" s="707"/>
      <c r="HM35" s="707"/>
      <c r="HN35" s="707"/>
      <c r="HO35" s="707"/>
      <c r="HP35" s="707"/>
      <c r="HQ35" s="707"/>
      <c r="HR35" s="707"/>
      <c r="HS35" s="707"/>
      <c r="HT35" s="707"/>
      <c r="HU35" s="707"/>
      <c r="HV35" s="707"/>
      <c r="HW35" s="707"/>
      <c r="HX35" s="707"/>
      <c r="HY35" s="707"/>
      <c r="HZ35" s="707"/>
      <c r="IA35" s="707"/>
      <c r="IB35" s="707"/>
      <c r="IC35" s="707"/>
      <c r="ID35" s="707"/>
      <c r="IE35" s="707"/>
      <c r="IF35" s="707"/>
      <c r="IG35" s="707"/>
      <c r="IH35" s="707"/>
      <c r="II35" s="707"/>
      <c r="IJ35" s="707"/>
      <c r="IK35" s="707"/>
      <c r="IL35" s="707"/>
      <c r="IM35" s="707"/>
      <c r="IN35" s="707"/>
      <c r="IO35" s="707"/>
      <c r="IP35" s="707"/>
      <c r="IQ35" s="707"/>
      <c r="IR35" s="707"/>
      <c r="IS35" s="707"/>
      <c r="IT35" s="707"/>
      <c r="IU35" s="707"/>
      <c r="IV35" s="707"/>
      <c r="IW35" s="707"/>
      <c r="IX35" s="707"/>
      <c r="IY35" s="707"/>
      <c r="IZ35" s="707"/>
      <c r="JA35" s="707"/>
      <c r="JB35" s="707"/>
      <c r="JC35" s="707"/>
      <c r="JD35" s="707"/>
      <c r="JE35" s="707"/>
      <c r="JF35" s="707"/>
      <c r="JG35" s="707"/>
      <c r="JH35" s="707"/>
      <c r="JI35" s="707"/>
      <c r="JJ35" s="707"/>
      <c r="JK35" s="707"/>
      <c r="JL35" s="707"/>
      <c r="JM35" s="707"/>
      <c r="JN35" s="707"/>
      <c r="JO35" s="707"/>
      <c r="JP35" s="707"/>
      <c r="JQ35" s="707"/>
      <c r="JR35" s="707"/>
      <c r="JS35" s="707"/>
      <c r="JT35" s="707"/>
      <c r="JU35" s="707"/>
      <c r="JV35" s="707"/>
      <c r="JW35" s="707"/>
      <c r="JX35" s="707"/>
      <c r="JY35" s="707"/>
      <c r="JZ35" s="707"/>
      <c r="KA35" s="707"/>
      <c r="KB35" s="707"/>
      <c r="KC35" s="707"/>
      <c r="KD35" s="707"/>
      <c r="KE35" s="707"/>
      <c r="KF35" s="707"/>
      <c r="KG35" s="707"/>
      <c r="KH35" s="707"/>
      <c r="KI35" s="707"/>
      <c r="KJ35" s="707"/>
      <c r="KK35" s="707"/>
      <c r="KL35" s="707"/>
      <c r="KM35" s="707"/>
      <c r="KN35" s="707"/>
      <c r="KO35" s="707"/>
      <c r="KP35" s="707"/>
      <c r="KQ35" s="707"/>
      <c r="KR35" s="707"/>
      <c r="KS35" s="707"/>
      <c r="KT35" s="707"/>
      <c r="KU35" s="707"/>
      <c r="KV35" s="707"/>
      <c r="KW35" s="707"/>
      <c r="KX35" s="707"/>
      <c r="KY35" s="707"/>
      <c r="KZ35" s="707"/>
      <c r="LA35" s="707"/>
      <c r="LB35" s="707"/>
      <c r="LC35" s="707"/>
      <c r="LD35" s="707"/>
      <c r="LE35" s="707"/>
      <c r="LF35" s="707"/>
      <c r="LG35" s="707"/>
      <c r="LH35" s="707"/>
      <c r="LI35" s="707"/>
      <c r="LJ35" s="707"/>
      <c r="LK35" s="707"/>
      <c r="LL35" s="707"/>
      <c r="LM35" s="707"/>
      <c r="LN35" s="707"/>
      <c r="LO35" s="707"/>
      <c r="LP35" s="707"/>
      <c r="LQ35" s="707"/>
      <c r="LR35" s="707"/>
      <c r="LS35" s="707"/>
      <c r="LT35" s="707"/>
      <c r="LU35" s="707"/>
      <c r="LV35" s="707"/>
      <c r="LW35" s="707"/>
      <c r="LX35" s="707"/>
      <c r="LY35" s="707"/>
      <c r="LZ35" s="707"/>
      <c r="MA35" s="707"/>
      <c r="MB35" s="707"/>
      <c r="MC35" s="707"/>
      <c r="MD35" s="707"/>
      <c r="ME35" s="707"/>
      <c r="MF35" s="707"/>
      <c r="MG35" s="707"/>
      <c r="MH35" s="707"/>
      <c r="MI35" s="707"/>
      <c r="MJ35" s="707"/>
      <c r="MK35" s="707"/>
      <c r="ML35" s="707"/>
      <c r="MM35" s="707"/>
      <c r="MN35" s="707"/>
      <c r="MO35" s="707"/>
      <c r="MP35" s="707"/>
      <c r="MQ35" s="707"/>
      <c r="MR35" s="707"/>
      <c r="MS35" s="707"/>
      <c r="MT35" s="707"/>
      <c r="MU35" s="707"/>
      <c r="MV35" s="707"/>
      <c r="MW35" s="707"/>
      <c r="MX35" s="707"/>
      <c r="MY35" s="707"/>
      <c r="MZ35" s="707"/>
      <c r="NA35" s="707"/>
      <c r="NB35" s="707"/>
      <c r="NC35" s="707"/>
      <c r="ND35" s="707"/>
      <c r="NE35" s="707"/>
      <c r="NF35" s="707"/>
      <c r="NG35" s="707"/>
      <c r="NH35" s="707"/>
      <c r="NI35" s="707"/>
      <c r="NJ35" s="707"/>
      <c r="NK35" s="707"/>
      <c r="NL35" s="707"/>
      <c r="NM35" s="707"/>
      <c r="NN35" s="707"/>
      <c r="NO35" s="707"/>
      <c r="NP35" s="707"/>
      <c r="NQ35" s="707"/>
      <c r="NR35" s="707"/>
      <c r="NS35" s="707"/>
      <c r="NT35" s="707"/>
      <c r="NU35" s="707"/>
      <c r="NV35" s="707"/>
      <c r="NW35" s="707"/>
      <c r="NX35" s="707"/>
      <c r="NY35" s="707"/>
      <c r="NZ35" s="707"/>
      <c r="OA35" s="707"/>
      <c r="OB35" s="707"/>
      <c r="OC35" s="707"/>
      <c r="OD35" s="707"/>
      <c r="OE35" s="707"/>
      <c r="OF35" s="707"/>
      <c r="OG35" s="707"/>
      <c r="OH35" s="707"/>
      <c r="OI35" s="707"/>
      <c r="OJ35" s="707"/>
      <c r="OK35" s="707"/>
      <c r="OL35" s="707"/>
      <c r="OM35" s="707"/>
      <c r="ON35" s="707"/>
      <c r="OO35" s="707"/>
      <c r="OP35" s="707"/>
      <c r="OQ35" s="707"/>
      <c r="OR35" s="707"/>
      <c r="OS35" s="707"/>
      <c r="OT35" s="707"/>
      <c r="OU35" s="707"/>
      <c r="OV35" s="707"/>
      <c r="OW35" s="707"/>
      <c r="OX35" s="707"/>
      <c r="OY35" s="707"/>
      <c r="OZ35" s="707"/>
      <c r="PA35" s="707"/>
      <c r="PB35" s="707"/>
      <c r="PC35" s="707"/>
      <c r="PD35" s="707"/>
      <c r="PE35" s="707"/>
      <c r="PF35" s="707"/>
      <c r="PG35" s="707"/>
      <c r="PH35" s="707"/>
      <c r="PI35" s="707"/>
      <c r="PJ35" s="707"/>
      <c r="PK35" s="707"/>
      <c r="PL35" s="707"/>
      <c r="PM35" s="707"/>
      <c r="PN35" s="707"/>
      <c r="PO35" s="707"/>
      <c r="PP35" s="707"/>
      <c r="PQ35" s="707"/>
      <c r="PR35" s="707"/>
      <c r="PS35" s="707"/>
      <c r="PT35" s="707"/>
      <c r="PU35" s="707"/>
      <c r="PV35" s="707"/>
      <c r="PW35" s="707"/>
      <c r="PX35" s="707"/>
      <c r="PY35" s="707"/>
      <c r="PZ35" s="707"/>
      <c r="QA35" s="707"/>
      <c r="QB35" s="707"/>
      <c r="QC35" s="707"/>
      <c r="QD35" s="707"/>
      <c r="QE35" s="707"/>
      <c r="QF35" s="707"/>
      <c r="QG35" s="707"/>
      <c r="QH35" s="707"/>
      <c r="QI35" s="707"/>
      <c r="QJ35" s="707"/>
      <c r="QK35" s="707"/>
      <c r="QL35" s="707"/>
      <c r="QM35" s="707"/>
      <c r="QN35" s="707"/>
      <c r="QO35" s="707"/>
      <c r="QP35" s="707"/>
      <c r="QQ35" s="707"/>
      <c r="QR35" s="707"/>
      <c r="QS35" s="707"/>
      <c r="QT35" s="707"/>
      <c r="QU35" s="707"/>
      <c r="QV35" s="707"/>
      <c r="QW35" s="707"/>
      <c r="QX35" s="707"/>
      <c r="QY35" s="707"/>
      <c r="QZ35" s="707"/>
      <c r="RA35" s="707"/>
      <c r="RB35" s="707"/>
      <c r="RC35" s="707"/>
      <c r="RD35" s="707"/>
      <c r="RE35" s="707"/>
      <c r="RF35" s="707"/>
      <c r="RG35" s="707"/>
      <c r="RH35" s="707"/>
      <c r="RI35" s="707"/>
      <c r="RJ35" s="707"/>
      <c r="RK35" s="707"/>
      <c r="RL35" s="707"/>
      <c r="RM35" s="707"/>
      <c r="RN35" s="707"/>
      <c r="RO35" s="707"/>
      <c r="RP35" s="707"/>
      <c r="RQ35" s="707"/>
      <c r="RR35" s="707"/>
      <c r="RS35" s="707"/>
      <c r="RT35" s="707"/>
      <c r="RU35" s="707"/>
      <c r="RV35" s="707"/>
      <c r="RW35" s="707"/>
      <c r="RX35" s="707"/>
      <c r="RY35" s="707"/>
      <c r="RZ35" s="707"/>
      <c r="SA35" s="707"/>
      <c r="SB35" s="707"/>
      <c r="SC35" s="707"/>
      <c r="SD35" s="707"/>
      <c r="SE35" s="707"/>
      <c r="SF35" s="707"/>
      <c r="SG35" s="707"/>
      <c r="SH35" s="707"/>
      <c r="SI35" s="707"/>
      <c r="SJ35" s="707"/>
      <c r="SK35" s="707"/>
      <c r="SL35" s="707"/>
      <c r="SM35" s="707"/>
      <c r="SN35" s="707"/>
      <c r="SO35" s="707"/>
      <c r="SP35" s="707"/>
      <c r="SQ35" s="707"/>
      <c r="SR35" s="707"/>
      <c r="SS35" s="707"/>
      <c r="ST35" s="707"/>
      <c r="SU35" s="707"/>
      <c r="SV35" s="707"/>
      <c r="SW35" s="707"/>
      <c r="SX35" s="707"/>
      <c r="SY35" s="707"/>
      <c r="SZ35" s="707"/>
      <c r="TA35" s="707"/>
      <c r="TB35" s="707"/>
      <c r="TC35" s="707"/>
      <c r="TD35" s="707"/>
      <c r="TE35" s="707"/>
      <c r="TF35" s="707"/>
      <c r="TG35" s="707"/>
      <c r="TH35" s="707"/>
      <c r="TI35" s="707"/>
      <c r="TJ35" s="707"/>
      <c r="TK35" s="707"/>
      <c r="TL35" s="707"/>
      <c r="TM35" s="707"/>
      <c r="TN35" s="707"/>
      <c r="TO35" s="707"/>
      <c r="TP35" s="707"/>
      <c r="TQ35" s="707"/>
      <c r="TR35" s="707"/>
      <c r="TS35" s="707"/>
      <c r="TT35" s="707"/>
      <c r="TU35" s="707"/>
      <c r="TV35" s="707"/>
      <c r="TW35" s="707"/>
      <c r="TX35" s="707"/>
      <c r="TY35" s="707"/>
      <c r="TZ35" s="707"/>
      <c r="UA35" s="707"/>
      <c r="UB35" s="707"/>
      <c r="UC35" s="707"/>
      <c r="UD35" s="707"/>
      <c r="UE35" s="707"/>
      <c r="UF35" s="707"/>
      <c r="UG35" s="707"/>
      <c r="UH35" s="707"/>
      <c r="UI35" s="707"/>
      <c r="UJ35" s="707"/>
      <c r="UK35" s="707"/>
      <c r="UL35" s="707"/>
      <c r="UM35" s="707"/>
      <c r="UN35" s="707"/>
      <c r="UO35" s="707"/>
      <c r="UP35" s="707"/>
      <c r="UQ35" s="707"/>
      <c r="UR35" s="707"/>
      <c r="US35" s="707"/>
      <c r="UT35" s="707"/>
      <c r="UU35" s="707"/>
      <c r="UV35" s="707"/>
      <c r="UW35" s="707"/>
      <c r="UX35" s="707"/>
      <c r="UY35" s="707"/>
      <c r="UZ35" s="707"/>
      <c r="VA35" s="707"/>
      <c r="VB35" s="707"/>
      <c r="VC35" s="707"/>
      <c r="VD35" s="707"/>
      <c r="VE35" s="707"/>
      <c r="VF35" s="707"/>
      <c r="VG35" s="707"/>
      <c r="VH35" s="707"/>
      <c r="VI35" s="707"/>
      <c r="VJ35" s="707"/>
      <c r="VK35" s="707"/>
      <c r="VL35" s="707"/>
      <c r="VM35" s="707"/>
      <c r="VN35" s="707"/>
      <c r="VO35" s="707"/>
      <c r="VP35" s="707"/>
      <c r="VQ35" s="707"/>
      <c r="VR35" s="707"/>
      <c r="VS35" s="707"/>
      <c r="VT35" s="707"/>
      <c r="VU35" s="707"/>
      <c r="VV35" s="707"/>
      <c r="VW35" s="707"/>
      <c r="VX35" s="707"/>
      <c r="VY35" s="707"/>
      <c r="VZ35" s="707"/>
      <c r="WA35" s="707"/>
      <c r="WB35" s="707"/>
      <c r="WC35" s="707"/>
      <c r="WD35" s="707"/>
      <c r="WE35" s="707"/>
      <c r="WF35" s="707"/>
      <c r="WG35" s="707"/>
      <c r="WH35" s="707"/>
      <c r="WI35" s="707"/>
      <c r="WJ35" s="707"/>
      <c r="WK35" s="707"/>
      <c r="WL35" s="707"/>
      <c r="WM35" s="707"/>
      <c r="WN35" s="707"/>
      <c r="WO35" s="707"/>
      <c r="WP35" s="707"/>
      <c r="WQ35" s="707"/>
      <c r="WR35" s="707"/>
      <c r="WS35" s="707"/>
      <c r="WT35" s="707"/>
      <c r="WU35" s="707"/>
      <c r="WV35" s="707"/>
      <c r="WW35" s="707"/>
      <c r="WX35" s="707"/>
      <c r="WY35" s="707"/>
      <c r="WZ35" s="707"/>
      <c r="XA35" s="707"/>
      <c r="XB35" s="707"/>
      <c r="XC35" s="707"/>
      <c r="XD35" s="707"/>
      <c r="XE35" s="707"/>
      <c r="XF35" s="707"/>
      <c r="XG35" s="707"/>
      <c r="XH35" s="707"/>
      <c r="XI35" s="707"/>
      <c r="XJ35" s="707"/>
      <c r="XK35" s="707"/>
      <c r="XL35" s="707"/>
      <c r="XM35" s="707"/>
      <c r="XN35" s="707"/>
      <c r="XO35" s="707"/>
      <c r="XP35" s="707"/>
      <c r="XQ35" s="707"/>
      <c r="XR35" s="707"/>
      <c r="XS35" s="707"/>
      <c r="XT35" s="707"/>
      <c r="XU35" s="707"/>
      <c r="XV35" s="707"/>
      <c r="XW35" s="707"/>
      <c r="XX35" s="707"/>
      <c r="XY35" s="707"/>
      <c r="XZ35" s="707"/>
      <c r="YA35" s="707"/>
      <c r="YB35" s="707"/>
      <c r="YC35" s="707"/>
      <c r="YD35" s="707"/>
      <c r="YE35" s="707"/>
      <c r="YF35" s="707"/>
      <c r="YG35" s="707"/>
      <c r="YH35" s="707"/>
      <c r="YI35" s="707"/>
      <c r="YJ35" s="707"/>
      <c r="YK35" s="707"/>
      <c r="YL35" s="707"/>
      <c r="YM35" s="707"/>
      <c r="YN35" s="707"/>
      <c r="YO35" s="707"/>
      <c r="YP35" s="707"/>
      <c r="YQ35" s="707"/>
      <c r="YR35" s="707"/>
      <c r="YS35" s="707"/>
      <c r="YT35" s="707"/>
      <c r="YU35" s="707"/>
      <c r="YV35" s="707"/>
      <c r="YW35" s="707"/>
      <c r="YX35" s="707"/>
      <c r="YY35" s="707"/>
      <c r="YZ35" s="707"/>
      <c r="ZA35" s="707"/>
      <c r="ZB35" s="707"/>
      <c r="ZC35" s="707"/>
      <c r="ZD35" s="707"/>
      <c r="ZE35" s="707"/>
      <c r="ZF35" s="707"/>
      <c r="ZG35" s="707"/>
      <c r="ZH35" s="707"/>
      <c r="ZI35" s="707"/>
      <c r="ZJ35" s="707"/>
      <c r="ZK35" s="707"/>
      <c r="ZL35" s="707"/>
      <c r="ZM35" s="707"/>
      <c r="ZN35" s="707"/>
      <c r="ZO35" s="707"/>
      <c r="ZP35" s="707"/>
      <c r="ZQ35" s="707"/>
      <c r="ZR35" s="707"/>
      <c r="ZS35" s="707"/>
      <c r="ZT35" s="707"/>
      <c r="ZU35" s="707"/>
      <c r="ZV35" s="707"/>
      <c r="ZW35" s="707"/>
      <c r="ZX35" s="707"/>
      <c r="ZY35" s="707"/>
      <c r="ZZ35" s="707"/>
      <c r="AAA35" s="707"/>
      <c r="AAB35" s="707"/>
      <c r="AAC35" s="707"/>
      <c r="AAD35" s="707"/>
      <c r="AAE35" s="707"/>
      <c r="AAF35" s="707"/>
      <c r="AAG35" s="707"/>
      <c r="AAH35" s="707"/>
      <c r="AAI35" s="707"/>
      <c r="AAJ35" s="707"/>
      <c r="AAK35" s="707"/>
      <c r="AAL35" s="707"/>
      <c r="AAM35" s="707"/>
      <c r="AAN35" s="707"/>
      <c r="AAO35" s="707"/>
      <c r="AAP35" s="707"/>
      <c r="AAQ35" s="707"/>
      <c r="AAR35" s="707"/>
      <c r="AAS35" s="707"/>
      <c r="AAT35" s="707"/>
      <c r="AAU35" s="707"/>
      <c r="AAV35" s="707"/>
      <c r="AAW35" s="707"/>
      <c r="AAX35" s="707"/>
      <c r="AAY35" s="707"/>
      <c r="AAZ35" s="707"/>
      <c r="ABA35" s="707"/>
      <c r="ABB35" s="707"/>
      <c r="ABC35" s="707"/>
      <c r="ABD35" s="707"/>
      <c r="ABE35" s="707"/>
      <c r="ABF35" s="707"/>
      <c r="ABG35" s="707"/>
      <c r="ABH35" s="707"/>
      <c r="ABI35" s="707"/>
      <c r="ABJ35" s="707"/>
      <c r="ABK35" s="707"/>
      <c r="ABL35" s="707"/>
      <c r="ABM35" s="707"/>
      <c r="ABN35" s="707"/>
      <c r="ABO35" s="707"/>
      <c r="ABP35" s="707"/>
      <c r="ABQ35" s="707"/>
      <c r="ABR35" s="707"/>
      <c r="ABS35" s="707"/>
      <c r="ABT35" s="707"/>
      <c r="ABU35" s="707"/>
      <c r="ABV35" s="707"/>
      <c r="ABW35" s="707"/>
      <c r="ABX35" s="707"/>
      <c r="ABY35" s="707"/>
      <c r="ABZ35" s="707"/>
      <c r="ACA35" s="707"/>
      <c r="ACB35" s="707"/>
      <c r="ACC35" s="707"/>
      <c r="ACD35" s="707"/>
      <c r="ACE35" s="707"/>
      <c r="ACF35" s="707"/>
      <c r="ACG35" s="707"/>
      <c r="ACH35" s="707"/>
      <c r="ACI35" s="707"/>
      <c r="ACJ35" s="707"/>
      <c r="ACK35" s="707"/>
      <c r="ACL35" s="707"/>
      <c r="ACM35" s="707"/>
      <c r="ACN35" s="707"/>
      <c r="ACO35" s="707"/>
      <c r="ACP35" s="707"/>
      <c r="ACQ35" s="707"/>
      <c r="ACR35" s="707"/>
      <c r="ACS35" s="707"/>
      <c r="ACT35" s="707"/>
      <c r="ACU35" s="707"/>
      <c r="ACV35" s="707"/>
      <c r="ACW35" s="707"/>
      <c r="ACX35" s="707"/>
      <c r="ACY35" s="707"/>
      <c r="ACZ35" s="707"/>
      <c r="ADA35" s="707"/>
      <c r="ADB35" s="707"/>
      <c r="ADC35" s="707"/>
      <c r="ADD35" s="707"/>
      <c r="ADE35" s="707"/>
      <c r="ADF35" s="707"/>
      <c r="ADG35" s="707"/>
      <c r="ADH35" s="707"/>
      <c r="ADI35" s="707"/>
      <c r="ADJ35" s="707"/>
      <c r="ADK35" s="707"/>
      <c r="ADL35" s="707"/>
      <c r="ADM35" s="707"/>
      <c r="ADN35" s="707"/>
      <c r="ADO35" s="707"/>
      <c r="ADP35" s="707"/>
      <c r="ADQ35" s="707"/>
      <c r="ADR35" s="707"/>
      <c r="ADS35" s="707"/>
      <c r="ADT35" s="707"/>
      <c r="ADU35" s="707"/>
      <c r="ADV35" s="707"/>
      <c r="ADW35" s="707"/>
      <c r="ADX35" s="707"/>
      <c r="ADY35" s="707"/>
      <c r="ADZ35" s="707"/>
      <c r="AEA35" s="707"/>
      <c r="AEB35" s="707"/>
      <c r="AEC35" s="707"/>
      <c r="AED35" s="707"/>
      <c r="AEE35" s="707"/>
      <c r="AEF35" s="707"/>
      <c r="AEG35" s="707"/>
      <c r="AEH35" s="707"/>
      <c r="AEI35" s="707"/>
      <c r="AEJ35" s="707"/>
      <c r="AEK35" s="707"/>
      <c r="AEL35" s="707"/>
      <c r="AEM35" s="707"/>
      <c r="AEN35" s="707"/>
      <c r="AEO35" s="707"/>
      <c r="AEP35" s="707"/>
      <c r="AEQ35" s="707"/>
      <c r="AER35" s="707"/>
      <c r="AES35" s="707"/>
      <c r="AET35" s="707"/>
      <c r="AEU35" s="707"/>
      <c r="AEV35" s="707"/>
      <c r="AEW35" s="707"/>
      <c r="AEX35" s="707"/>
      <c r="AEY35" s="707"/>
      <c r="AEZ35" s="707"/>
      <c r="AFA35" s="707"/>
      <c r="AFB35" s="707"/>
      <c r="AFC35" s="707"/>
      <c r="AFD35" s="707"/>
      <c r="AFE35" s="707"/>
      <c r="AFF35" s="707"/>
      <c r="AFG35" s="707"/>
      <c r="AFH35" s="707"/>
      <c r="AFI35" s="707"/>
      <c r="AFJ35" s="707"/>
      <c r="AFK35" s="707"/>
      <c r="AFL35" s="707"/>
      <c r="AFM35" s="707"/>
      <c r="AFN35" s="707"/>
      <c r="AFO35" s="707"/>
      <c r="AFP35" s="707"/>
      <c r="AFQ35" s="707"/>
      <c r="AFR35" s="707"/>
      <c r="AFS35" s="707"/>
      <c r="AFT35" s="707"/>
      <c r="AFU35" s="707"/>
      <c r="AFV35" s="707"/>
      <c r="AFW35" s="707"/>
      <c r="AFX35" s="707"/>
      <c r="AFY35" s="707"/>
      <c r="AFZ35" s="707"/>
      <c r="AGA35" s="707"/>
      <c r="AGB35" s="707"/>
      <c r="AGC35" s="707"/>
      <c r="AGD35" s="707"/>
      <c r="AGE35" s="707"/>
      <c r="AGF35" s="707"/>
      <c r="AGG35" s="707"/>
      <c r="AGH35" s="707"/>
      <c r="AGI35" s="707"/>
      <c r="AGJ35" s="707"/>
      <c r="AGK35" s="707"/>
      <c r="AGL35" s="707"/>
      <c r="AGM35" s="707"/>
      <c r="AGN35" s="707"/>
      <c r="AGO35" s="707"/>
      <c r="AGP35" s="707"/>
      <c r="AGQ35" s="707"/>
      <c r="AGR35" s="707"/>
      <c r="AGS35" s="707"/>
      <c r="AGT35" s="707"/>
      <c r="AGU35" s="707"/>
      <c r="AGV35" s="707"/>
      <c r="AGW35" s="707"/>
      <c r="AGX35" s="707"/>
      <c r="AGY35" s="707"/>
      <c r="AGZ35" s="707"/>
      <c r="AHA35" s="707"/>
      <c r="AHB35" s="707"/>
      <c r="AHC35" s="707"/>
      <c r="AHD35" s="707"/>
      <c r="AHE35" s="707"/>
      <c r="AHF35" s="707"/>
      <c r="AHG35" s="707"/>
      <c r="AHH35" s="707"/>
      <c r="AHI35" s="707"/>
      <c r="AHJ35" s="707"/>
      <c r="AHK35" s="707"/>
      <c r="AHL35" s="707"/>
      <c r="AHM35" s="707"/>
      <c r="AHN35" s="707"/>
      <c r="AHO35" s="707"/>
      <c r="AHP35" s="707"/>
      <c r="AHQ35" s="707"/>
      <c r="AHR35" s="707"/>
      <c r="AHS35" s="707"/>
      <c r="AHT35" s="707"/>
      <c r="AHU35" s="707"/>
      <c r="AHV35" s="707"/>
      <c r="AHW35" s="707"/>
      <c r="AHX35" s="707"/>
      <c r="AHY35" s="707"/>
      <c r="AHZ35" s="707"/>
      <c r="AIA35" s="707"/>
      <c r="AIB35" s="707"/>
      <c r="AIC35" s="707"/>
      <c r="AID35" s="707"/>
      <c r="AIE35" s="707"/>
      <c r="AIF35" s="707"/>
      <c r="AIG35" s="707"/>
      <c r="AIH35" s="707"/>
      <c r="AII35" s="707"/>
      <c r="AIJ35" s="707"/>
      <c r="AIK35" s="707"/>
      <c r="AIL35" s="707"/>
      <c r="AIM35" s="707"/>
      <c r="AIN35" s="707"/>
      <c r="AIO35" s="707"/>
      <c r="AIP35" s="707"/>
      <c r="AIQ35" s="707"/>
      <c r="AIR35" s="707"/>
      <c r="AIS35" s="707"/>
      <c r="AIT35" s="707"/>
      <c r="AIU35" s="707"/>
      <c r="AIV35" s="707"/>
      <c r="AIW35" s="707"/>
      <c r="AIX35" s="707"/>
      <c r="AIY35" s="707"/>
      <c r="AIZ35" s="707"/>
      <c r="AJA35" s="707"/>
      <c r="AJB35" s="707"/>
      <c r="AJC35" s="707"/>
      <c r="AJD35" s="707"/>
      <c r="AJE35" s="707"/>
      <c r="AJF35" s="707"/>
      <c r="AJG35" s="707"/>
      <c r="AJH35" s="707"/>
      <c r="AJI35" s="707"/>
      <c r="AJJ35" s="707"/>
      <c r="AJK35" s="707"/>
      <c r="AJL35" s="707"/>
      <c r="AJM35" s="707"/>
      <c r="AJN35" s="707"/>
      <c r="AJO35" s="707"/>
      <c r="AJP35" s="707"/>
      <c r="AJQ35" s="707"/>
      <c r="AJR35" s="707"/>
      <c r="AJS35" s="707"/>
      <c r="AJT35" s="707"/>
      <c r="AJU35" s="707"/>
      <c r="AJV35" s="707"/>
      <c r="AJW35" s="707"/>
      <c r="AJX35" s="707"/>
      <c r="AJY35" s="707"/>
      <c r="AJZ35" s="707"/>
      <c r="AKA35" s="707"/>
      <c r="AKB35" s="707"/>
      <c r="AKC35" s="707"/>
      <c r="AKD35" s="707"/>
      <c r="AKE35" s="707"/>
      <c r="AKF35" s="707"/>
      <c r="AKG35" s="707"/>
      <c r="AKH35" s="707"/>
      <c r="AKI35" s="707"/>
      <c r="AKJ35" s="707"/>
      <c r="AKK35" s="707"/>
      <c r="AKL35" s="707"/>
      <c r="AKM35" s="707"/>
      <c r="AKN35" s="707"/>
      <c r="AKO35" s="707"/>
      <c r="AKP35" s="707"/>
      <c r="AKQ35" s="707"/>
      <c r="AKR35" s="707"/>
      <c r="AKS35" s="707"/>
      <c r="AKT35" s="707"/>
      <c r="AKU35" s="707"/>
      <c r="AKV35" s="707"/>
      <c r="AKW35" s="707"/>
      <c r="AKX35" s="707"/>
      <c r="AKY35" s="707"/>
      <c r="AKZ35" s="707"/>
      <c r="ALA35" s="707"/>
      <c r="ALB35" s="707"/>
      <c r="ALC35" s="707"/>
      <c r="ALD35" s="707"/>
      <c r="ALE35" s="707"/>
      <c r="ALF35" s="707"/>
      <c r="ALG35" s="707"/>
      <c r="ALH35" s="707"/>
      <c r="ALI35" s="707"/>
      <c r="ALJ35" s="707"/>
      <c r="ALK35" s="707"/>
      <c r="ALL35" s="707"/>
      <c r="ALM35" s="707"/>
      <c r="ALN35" s="707"/>
      <c r="ALO35" s="707"/>
      <c r="ALP35" s="707"/>
      <c r="ALQ35" s="707"/>
      <c r="ALR35" s="707"/>
      <c r="ALS35" s="707"/>
      <c r="ALT35" s="707"/>
      <c r="ALU35" s="707"/>
      <c r="ALV35" s="707"/>
      <c r="ALW35" s="707"/>
      <c r="ALX35" s="707"/>
      <c r="ALY35" s="707"/>
      <c r="ALZ35" s="707"/>
      <c r="AMA35" s="707"/>
      <c r="AMB35" s="707"/>
      <c r="AMC35" s="707"/>
      <c r="AMD35" s="707"/>
      <c r="AME35" s="707"/>
      <c r="AMF35" s="707"/>
      <c r="AMG35" s="707"/>
      <c r="AMH35" s="707"/>
      <c r="AMI35" s="707"/>
      <c r="AMJ35" s="707"/>
      <c r="AMK35" s="707"/>
      <c r="AML35" s="707"/>
      <c r="AMM35" s="707"/>
      <c r="AMN35" s="707"/>
      <c r="AMO35" s="707"/>
      <c r="AMP35" s="707"/>
      <c r="AMQ35" s="707"/>
      <c r="AMR35" s="707"/>
      <c r="AMS35" s="707"/>
      <c r="AMT35" s="707"/>
      <c r="AMU35" s="707"/>
      <c r="AMV35" s="707"/>
      <c r="AMW35" s="707"/>
      <c r="AMX35" s="707"/>
      <c r="AMY35" s="707"/>
      <c r="AMZ35" s="707"/>
      <c r="ANA35" s="707"/>
      <c r="ANB35" s="707"/>
      <c r="ANC35" s="707"/>
      <c r="AND35" s="707"/>
      <c r="ANE35" s="707"/>
      <c r="ANF35" s="707"/>
      <c r="ANG35" s="707"/>
      <c r="ANH35" s="707"/>
      <c r="ANI35" s="707"/>
      <c r="ANJ35" s="707"/>
      <c r="ANK35" s="707"/>
      <c r="ANL35" s="707"/>
      <c r="ANM35" s="707"/>
      <c r="ANN35" s="707"/>
      <c r="ANO35" s="707"/>
      <c r="ANP35" s="707"/>
      <c r="ANQ35" s="707"/>
      <c r="ANR35" s="707"/>
      <c r="ANS35" s="707"/>
      <c r="ANT35" s="707"/>
      <c r="ANU35" s="707"/>
      <c r="ANV35" s="707"/>
      <c r="ANW35" s="707"/>
      <c r="ANX35" s="707"/>
      <c r="ANY35" s="707"/>
      <c r="ANZ35" s="707"/>
      <c r="AOA35" s="707"/>
      <c r="AOB35" s="707"/>
      <c r="AOC35" s="707"/>
      <c r="AOD35" s="707"/>
      <c r="AOE35" s="707"/>
      <c r="AOF35" s="707"/>
      <c r="AOG35" s="707"/>
      <c r="AOH35" s="707"/>
      <c r="AOI35" s="707"/>
      <c r="AOJ35" s="707"/>
      <c r="AOK35" s="707"/>
      <c r="AOL35" s="707"/>
      <c r="AOM35" s="707"/>
      <c r="AON35" s="707"/>
      <c r="AOO35" s="707"/>
      <c r="AOP35" s="707"/>
      <c r="AOQ35" s="707"/>
      <c r="AOR35" s="707"/>
      <c r="AOS35" s="707"/>
      <c r="AOT35" s="707"/>
      <c r="AOU35" s="707"/>
      <c r="AOV35" s="707"/>
      <c r="AOW35" s="707"/>
      <c r="AOX35" s="707"/>
      <c r="AOY35" s="707"/>
      <c r="AOZ35" s="707"/>
      <c r="APA35" s="707"/>
      <c r="APB35" s="707"/>
      <c r="APC35" s="707"/>
      <c r="APD35" s="707"/>
      <c r="APE35" s="707"/>
      <c r="APF35" s="707"/>
      <c r="APG35" s="707"/>
      <c r="APH35" s="707"/>
      <c r="API35" s="707"/>
      <c r="APJ35" s="707"/>
      <c r="APK35" s="707"/>
      <c r="APL35" s="707"/>
      <c r="APM35" s="707"/>
      <c r="APN35" s="707"/>
      <c r="APO35" s="707"/>
      <c r="APP35" s="707"/>
      <c r="APQ35" s="707"/>
      <c r="APR35" s="707"/>
      <c r="APS35" s="707"/>
      <c r="APT35" s="707"/>
      <c r="APU35" s="707"/>
      <c r="APV35" s="707"/>
      <c r="APW35" s="707"/>
      <c r="APX35" s="707"/>
      <c r="APY35" s="707"/>
      <c r="APZ35" s="707"/>
      <c r="AQA35" s="707"/>
      <c r="AQB35" s="707"/>
      <c r="AQC35" s="707"/>
      <c r="AQD35" s="707"/>
      <c r="AQE35" s="707"/>
      <c r="AQF35" s="707"/>
      <c r="AQG35" s="707"/>
      <c r="AQH35" s="707"/>
      <c r="AQI35" s="707"/>
      <c r="AQJ35" s="707"/>
      <c r="AQK35" s="707"/>
      <c r="AQL35" s="707"/>
      <c r="AQM35" s="707"/>
      <c r="AQN35" s="707"/>
      <c r="AQO35" s="707"/>
      <c r="AQP35" s="707"/>
      <c r="AQQ35" s="707"/>
      <c r="AQR35" s="707"/>
      <c r="AQS35" s="707"/>
      <c r="AQT35" s="707"/>
      <c r="AQU35" s="707"/>
      <c r="AQV35" s="707"/>
      <c r="AQW35" s="707"/>
      <c r="AQX35" s="707"/>
      <c r="AQY35" s="707"/>
      <c r="AQZ35" s="707"/>
      <c r="ARA35" s="707"/>
      <c r="ARB35" s="707"/>
      <c r="ARC35" s="707"/>
      <c r="ARD35" s="707"/>
      <c r="ARE35" s="707"/>
      <c r="ARF35" s="707"/>
      <c r="ARG35" s="707"/>
      <c r="ARH35" s="707"/>
      <c r="ARI35" s="707"/>
      <c r="ARJ35" s="707"/>
      <c r="ARK35" s="707"/>
      <c r="ARL35" s="707"/>
      <c r="ARM35" s="707"/>
      <c r="ARN35" s="707"/>
      <c r="ARO35" s="707"/>
      <c r="ARP35" s="707"/>
      <c r="ARQ35" s="707"/>
      <c r="ARR35" s="707"/>
      <c r="ARS35" s="707"/>
      <c r="ART35" s="707"/>
      <c r="ARU35" s="707"/>
      <c r="ARV35" s="707"/>
      <c r="ARW35" s="707"/>
      <c r="ARX35" s="707"/>
      <c r="ARY35" s="707"/>
      <c r="ARZ35" s="707"/>
      <c r="ASA35" s="707"/>
      <c r="ASB35" s="707"/>
      <c r="ASC35" s="707"/>
      <c r="ASD35" s="707"/>
      <c r="ASE35" s="707"/>
      <c r="ASF35" s="707"/>
      <c r="ASG35" s="707"/>
      <c r="ASH35" s="707"/>
      <c r="ASI35" s="707"/>
      <c r="ASJ35" s="707"/>
      <c r="ASK35" s="707"/>
      <c r="ASL35" s="707"/>
      <c r="ASM35" s="707"/>
      <c r="ASN35" s="707"/>
      <c r="ASO35" s="707"/>
      <c r="ASP35" s="707"/>
      <c r="ASQ35" s="707"/>
      <c r="ASR35" s="707"/>
      <c r="ASS35" s="707"/>
      <c r="AST35" s="707"/>
      <c r="ASU35" s="707"/>
      <c r="ASV35" s="707"/>
      <c r="ASW35" s="707"/>
      <c r="ASX35" s="707"/>
      <c r="ASY35" s="707"/>
      <c r="ASZ35" s="707"/>
      <c r="ATA35" s="707"/>
      <c r="ATB35" s="707"/>
      <c r="ATC35" s="707"/>
      <c r="ATD35" s="707"/>
      <c r="ATE35" s="707"/>
      <c r="ATF35" s="707"/>
      <c r="ATG35" s="707"/>
      <c r="ATH35" s="707"/>
      <c r="ATI35" s="707"/>
      <c r="ATJ35" s="707"/>
      <c r="ATK35" s="707"/>
      <c r="ATL35" s="707"/>
      <c r="ATM35" s="707"/>
      <c r="ATN35" s="707"/>
      <c r="ATO35" s="707"/>
      <c r="ATP35" s="707"/>
      <c r="ATQ35" s="707"/>
      <c r="ATR35" s="707"/>
      <c r="ATS35" s="707"/>
      <c r="ATT35" s="707"/>
      <c r="ATU35" s="707"/>
      <c r="ATV35" s="707"/>
      <c r="ATW35" s="707"/>
      <c r="ATX35" s="707"/>
      <c r="ATY35" s="707"/>
      <c r="ATZ35" s="707"/>
      <c r="AUA35" s="707"/>
      <c r="AUB35" s="707"/>
      <c r="AUC35" s="707"/>
      <c r="AUD35" s="707"/>
      <c r="AUE35" s="707"/>
      <c r="AUF35" s="707"/>
      <c r="AUG35" s="707"/>
      <c r="AUH35" s="707"/>
      <c r="AUI35" s="707"/>
      <c r="AUJ35" s="707"/>
      <c r="AUK35" s="707"/>
      <c r="AUL35" s="707"/>
      <c r="AUM35" s="707"/>
      <c r="AUN35" s="707"/>
      <c r="AUO35" s="707"/>
      <c r="AUP35" s="707"/>
      <c r="AUQ35" s="707"/>
      <c r="AUR35" s="707"/>
      <c r="AUS35" s="707"/>
      <c r="AUT35" s="707"/>
      <c r="AUU35" s="707"/>
      <c r="AUV35" s="707"/>
      <c r="AUW35" s="707"/>
      <c r="AUX35" s="707"/>
      <c r="AUY35" s="707"/>
      <c r="AUZ35" s="707"/>
      <c r="AVA35" s="707"/>
      <c r="AVB35" s="707"/>
      <c r="AVC35" s="707"/>
      <c r="AVD35" s="707"/>
      <c r="AVE35" s="707"/>
      <c r="AVF35" s="707"/>
      <c r="AVG35" s="707"/>
      <c r="AVH35" s="707"/>
      <c r="AVI35" s="707"/>
      <c r="AVJ35" s="707"/>
      <c r="AVK35" s="707"/>
      <c r="AVL35" s="707"/>
      <c r="AVM35" s="707"/>
      <c r="AVN35" s="707"/>
      <c r="AVO35" s="707"/>
      <c r="AVP35" s="707"/>
      <c r="AVQ35" s="707"/>
      <c r="AVR35" s="707"/>
      <c r="AVS35" s="707"/>
      <c r="AVT35" s="707"/>
      <c r="AVU35" s="707"/>
      <c r="AVV35" s="707"/>
      <c r="AVW35" s="707"/>
      <c r="AVX35" s="707"/>
      <c r="AVY35" s="707"/>
      <c r="AVZ35" s="707"/>
      <c r="AWA35" s="707"/>
      <c r="AWB35" s="707"/>
      <c r="AWC35" s="707"/>
      <c r="AWD35" s="707"/>
      <c r="AWE35" s="707"/>
      <c r="AWF35" s="707"/>
      <c r="AWG35" s="707"/>
      <c r="AWH35" s="707"/>
      <c r="AWI35" s="707"/>
      <c r="AWJ35" s="707"/>
      <c r="AWK35" s="707"/>
      <c r="AWL35" s="707"/>
      <c r="AWM35" s="707"/>
      <c r="AWN35" s="707"/>
      <c r="AWO35" s="707"/>
      <c r="AWP35" s="707"/>
      <c r="AWQ35" s="707"/>
      <c r="AWR35" s="707"/>
      <c r="AWS35" s="707"/>
      <c r="AWT35" s="707"/>
      <c r="AWU35" s="707"/>
      <c r="AWV35" s="707"/>
      <c r="AWW35" s="707"/>
      <c r="AWX35" s="707"/>
      <c r="AWY35" s="707"/>
      <c r="AWZ35" s="707"/>
      <c r="AXA35" s="707"/>
      <c r="AXB35" s="707"/>
      <c r="AXC35" s="707"/>
      <c r="AXD35" s="707"/>
      <c r="AXE35" s="707"/>
      <c r="AXF35" s="707"/>
      <c r="AXG35" s="707"/>
      <c r="AXH35" s="707"/>
      <c r="AXI35" s="707"/>
      <c r="AXJ35" s="707"/>
      <c r="AXK35" s="707"/>
      <c r="AXL35" s="707"/>
      <c r="AXM35" s="707"/>
      <c r="AXN35" s="707"/>
      <c r="AXO35" s="707"/>
      <c r="AXP35" s="707"/>
      <c r="AXQ35" s="707"/>
      <c r="AXR35" s="707"/>
      <c r="AXS35" s="707"/>
      <c r="AXT35" s="707"/>
      <c r="AXU35" s="707"/>
      <c r="AXV35" s="707"/>
      <c r="AXW35" s="707"/>
      <c r="AXX35" s="707"/>
      <c r="AXY35" s="707"/>
      <c r="AXZ35" s="707"/>
      <c r="AYA35" s="707"/>
      <c r="AYB35" s="707"/>
      <c r="AYC35" s="707"/>
      <c r="AYD35" s="707"/>
      <c r="AYE35" s="707"/>
      <c r="AYF35" s="707"/>
      <c r="AYG35" s="707"/>
      <c r="AYH35" s="707"/>
      <c r="AYI35" s="707"/>
      <c r="AYJ35" s="707"/>
      <c r="AYK35" s="707"/>
      <c r="AYL35" s="707"/>
      <c r="AYM35" s="707"/>
      <c r="AYN35" s="707"/>
      <c r="AYO35" s="707"/>
      <c r="AYP35" s="707"/>
      <c r="AYQ35" s="707"/>
      <c r="AYR35" s="707"/>
      <c r="AYS35" s="707"/>
      <c r="AYT35" s="707"/>
      <c r="AYU35" s="707"/>
      <c r="AYV35" s="707"/>
      <c r="AYW35" s="707"/>
      <c r="AYX35" s="707"/>
      <c r="AYY35" s="707"/>
      <c r="AYZ35" s="707"/>
      <c r="AZA35" s="707"/>
      <c r="AZB35" s="707"/>
      <c r="AZC35" s="707"/>
      <c r="AZD35" s="707"/>
      <c r="AZE35" s="707"/>
      <c r="AZF35" s="707"/>
      <c r="AZG35" s="707"/>
      <c r="AZH35" s="707"/>
      <c r="AZI35" s="707"/>
      <c r="AZJ35" s="707"/>
      <c r="AZK35" s="707"/>
      <c r="AZL35" s="707"/>
      <c r="AZM35" s="707"/>
      <c r="AZN35" s="707"/>
      <c r="AZO35" s="707"/>
      <c r="AZP35" s="707"/>
      <c r="AZQ35" s="707"/>
      <c r="AZR35" s="707"/>
      <c r="AZS35" s="707"/>
      <c r="AZT35" s="707"/>
      <c r="AZU35" s="707"/>
      <c r="AZV35" s="707"/>
      <c r="AZW35" s="707"/>
      <c r="AZX35" s="707"/>
      <c r="AZY35" s="707"/>
      <c r="AZZ35" s="707"/>
      <c r="BAA35" s="707"/>
      <c r="BAB35" s="707"/>
      <c r="BAC35" s="707"/>
      <c r="BAD35" s="707"/>
      <c r="BAE35" s="707"/>
      <c r="BAF35" s="707"/>
      <c r="BAG35" s="707"/>
      <c r="BAH35" s="707"/>
      <c r="BAI35" s="707"/>
      <c r="BAJ35" s="707"/>
      <c r="BAK35" s="707"/>
      <c r="BAL35" s="707"/>
      <c r="BAM35" s="707"/>
      <c r="BAN35" s="707"/>
      <c r="BAO35" s="707"/>
      <c r="BAP35" s="707"/>
      <c r="BAQ35" s="707"/>
      <c r="BAR35" s="707"/>
      <c r="BAS35" s="707"/>
      <c r="BAT35" s="707"/>
      <c r="BAU35" s="707"/>
      <c r="BAV35" s="707"/>
      <c r="BAW35" s="707"/>
      <c r="BAX35" s="707"/>
      <c r="BAY35" s="707"/>
      <c r="BAZ35" s="707"/>
      <c r="BBA35" s="707"/>
      <c r="BBB35" s="707"/>
      <c r="BBC35" s="707"/>
      <c r="BBD35" s="707"/>
      <c r="BBE35" s="707"/>
      <c r="BBF35" s="707"/>
      <c r="BBG35" s="707"/>
      <c r="BBH35" s="707"/>
      <c r="BBI35" s="707"/>
      <c r="BBJ35" s="707"/>
      <c r="BBK35" s="707"/>
      <c r="BBL35" s="707"/>
      <c r="BBM35" s="707"/>
      <c r="BBN35" s="707"/>
      <c r="BBO35" s="707"/>
      <c r="BBP35" s="707"/>
      <c r="BBQ35" s="707"/>
      <c r="BBR35" s="707"/>
      <c r="BBS35" s="707"/>
      <c r="BBT35" s="707"/>
      <c r="BBU35" s="707"/>
      <c r="BBV35" s="707"/>
      <c r="BBW35" s="707"/>
      <c r="BBX35" s="707"/>
      <c r="BBY35" s="707"/>
      <c r="BBZ35" s="707"/>
      <c r="BCA35" s="707"/>
      <c r="BCB35" s="707"/>
      <c r="BCC35" s="707"/>
      <c r="BCD35" s="707"/>
      <c r="BCE35" s="707"/>
      <c r="BCF35" s="707"/>
      <c r="BCG35" s="707"/>
      <c r="BCH35" s="707"/>
      <c r="BCI35" s="707"/>
      <c r="BCJ35" s="707"/>
      <c r="BCK35" s="707"/>
      <c r="BCL35" s="707"/>
      <c r="BCM35" s="707"/>
      <c r="BCN35" s="707"/>
      <c r="BCO35" s="707"/>
      <c r="BCP35" s="707"/>
      <c r="BCQ35" s="707"/>
      <c r="BCR35" s="707"/>
      <c r="BCS35" s="707"/>
      <c r="BCT35" s="707"/>
      <c r="BCU35" s="707"/>
      <c r="BCV35" s="707"/>
      <c r="BCW35" s="707"/>
      <c r="BCX35" s="707"/>
      <c r="BCY35" s="707"/>
      <c r="BCZ35" s="707"/>
      <c r="BDA35" s="707"/>
      <c r="BDB35" s="707"/>
      <c r="BDC35" s="707"/>
      <c r="BDD35" s="707"/>
      <c r="BDE35" s="707"/>
      <c r="BDF35" s="707"/>
      <c r="BDG35" s="707"/>
      <c r="BDH35" s="707"/>
      <c r="BDI35" s="707"/>
      <c r="BDJ35" s="707"/>
      <c r="BDK35" s="707"/>
      <c r="BDL35" s="707"/>
      <c r="BDM35" s="707"/>
      <c r="BDN35" s="707"/>
      <c r="BDO35" s="707"/>
      <c r="BDP35" s="707"/>
      <c r="BDQ35" s="707"/>
      <c r="BDR35" s="707"/>
      <c r="BDS35" s="707"/>
      <c r="BDT35" s="707"/>
      <c r="BDU35" s="707"/>
      <c r="BDV35" s="707"/>
      <c r="BDW35" s="707"/>
      <c r="BDX35" s="707"/>
      <c r="BDY35" s="707"/>
      <c r="BDZ35" s="707"/>
      <c r="BEA35" s="707"/>
      <c r="BEB35" s="707"/>
      <c r="BEC35" s="707"/>
      <c r="BED35" s="707"/>
      <c r="BEE35" s="707"/>
      <c r="BEF35" s="707"/>
      <c r="BEG35" s="707"/>
      <c r="BEH35" s="707"/>
      <c r="BEI35" s="707"/>
      <c r="BEJ35" s="707"/>
      <c r="BEK35" s="707"/>
      <c r="BEL35" s="707"/>
      <c r="BEM35" s="707"/>
      <c r="BEN35" s="707"/>
      <c r="BEO35" s="707"/>
      <c r="BEP35" s="707"/>
      <c r="BEQ35" s="707"/>
      <c r="BER35" s="707"/>
      <c r="BES35" s="707"/>
      <c r="BET35" s="707"/>
      <c r="BEU35" s="707"/>
      <c r="BEV35" s="707"/>
      <c r="BEW35" s="707"/>
      <c r="BEX35" s="707"/>
      <c r="BEY35" s="707"/>
      <c r="BEZ35" s="707"/>
      <c r="BFA35" s="707"/>
      <c r="BFB35" s="707"/>
      <c r="BFC35" s="707"/>
      <c r="BFD35" s="707"/>
      <c r="BFE35" s="707"/>
      <c r="BFF35" s="707"/>
      <c r="BFG35" s="707"/>
      <c r="BFH35" s="707"/>
      <c r="BFI35" s="707"/>
      <c r="BFJ35" s="707"/>
      <c r="BFK35" s="707"/>
      <c r="BFL35" s="707"/>
      <c r="BFM35" s="707"/>
      <c r="BFN35" s="707"/>
      <c r="BFO35" s="707"/>
      <c r="BFP35" s="707"/>
      <c r="BFQ35" s="707"/>
      <c r="BFR35" s="707"/>
      <c r="BFS35" s="707"/>
      <c r="BFT35" s="707"/>
      <c r="BFU35" s="707"/>
      <c r="BFV35" s="707"/>
      <c r="BFW35" s="707"/>
      <c r="BFX35" s="707"/>
      <c r="BFY35" s="707"/>
      <c r="BFZ35" s="707"/>
      <c r="BGA35" s="707"/>
      <c r="BGB35" s="707"/>
      <c r="BGC35" s="707"/>
      <c r="BGD35" s="707"/>
      <c r="BGE35" s="707"/>
      <c r="BGF35" s="707"/>
      <c r="BGG35" s="707"/>
      <c r="BGH35" s="707"/>
      <c r="BGI35" s="707"/>
      <c r="BGJ35" s="707"/>
      <c r="BGK35" s="707"/>
      <c r="BGL35" s="707"/>
      <c r="BGM35" s="707"/>
      <c r="BGN35" s="707"/>
      <c r="BGO35" s="707"/>
      <c r="BGP35" s="707"/>
      <c r="BGQ35" s="707"/>
      <c r="BGR35" s="707"/>
      <c r="BGS35" s="707"/>
      <c r="BGT35" s="707"/>
      <c r="BGU35" s="707"/>
      <c r="BGV35" s="707"/>
      <c r="BGW35" s="707"/>
      <c r="BGX35" s="707"/>
      <c r="BGY35" s="707"/>
      <c r="BGZ35" s="707"/>
      <c r="BHA35" s="707"/>
      <c r="BHB35" s="707"/>
      <c r="BHC35" s="707"/>
      <c r="BHD35" s="707"/>
      <c r="BHE35" s="707"/>
      <c r="BHF35" s="707"/>
      <c r="BHG35" s="707"/>
      <c r="BHH35" s="707"/>
      <c r="BHI35" s="707"/>
      <c r="BHJ35" s="707"/>
      <c r="BHK35" s="707"/>
      <c r="BHL35" s="707"/>
      <c r="BHM35" s="707"/>
      <c r="BHN35" s="707"/>
      <c r="BHO35" s="707"/>
      <c r="BHP35" s="707"/>
      <c r="BHQ35" s="707"/>
      <c r="BHR35" s="707"/>
      <c r="BHS35" s="707"/>
      <c r="BHT35" s="707"/>
      <c r="BHU35" s="707"/>
      <c r="BHV35" s="707"/>
      <c r="BHW35" s="707"/>
      <c r="BHX35" s="707"/>
      <c r="BHY35" s="707"/>
      <c r="BHZ35" s="707"/>
      <c r="BIA35" s="707"/>
      <c r="BIB35" s="707"/>
      <c r="BIC35" s="707"/>
      <c r="BID35" s="707"/>
      <c r="BIE35" s="707"/>
      <c r="BIF35" s="707"/>
      <c r="BIG35" s="707"/>
      <c r="BIH35" s="707"/>
      <c r="BII35" s="707"/>
      <c r="BIJ35" s="707"/>
      <c r="BIK35" s="707"/>
      <c r="BIL35" s="707"/>
      <c r="BIM35" s="707"/>
      <c r="BIN35" s="707"/>
      <c r="BIO35" s="707"/>
      <c r="BIP35" s="707"/>
      <c r="BIQ35" s="707"/>
      <c r="BIR35" s="707"/>
      <c r="BIS35" s="707"/>
      <c r="BIT35" s="707"/>
      <c r="BIU35" s="707"/>
      <c r="BIV35" s="707"/>
      <c r="BIW35" s="707"/>
      <c r="BIX35" s="707"/>
      <c r="BIY35" s="707"/>
      <c r="BIZ35" s="707"/>
      <c r="BJA35" s="707"/>
      <c r="BJB35" s="707"/>
      <c r="BJC35" s="707"/>
      <c r="BJD35" s="707"/>
      <c r="BJE35" s="707"/>
      <c r="BJF35" s="707"/>
      <c r="BJG35" s="707"/>
      <c r="BJH35" s="707"/>
      <c r="BJI35" s="707"/>
      <c r="BJJ35" s="707"/>
      <c r="BJK35" s="707"/>
      <c r="BJL35" s="707"/>
      <c r="BJM35" s="707"/>
      <c r="BJN35" s="707"/>
      <c r="BJO35" s="707"/>
      <c r="BJP35" s="707"/>
      <c r="BJQ35" s="707"/>
      <c r="BJR35" s="707"/>
      <c r="BJS35" s="707"/>
      <c r="BJT35" s="707"/>
      <c r="BJU35" s="707"/>
      <c r="BJV35" s="707"/>
      <c r="BJW35" s="707"/>
      <c r="BJX35" s="707"/>
      <c r="BJY35" s="707"/>
      <c r="BJZ35" s="707"/>
      <c r="BKA35" s="707"/>
      <c r="BKB35" s="707"/>
      <c r="BKC35" s="707"/>
      <c r="BKD35" s="707"/>
      <c r="BKE35" s="707"/>
      <c r="BKF35" s="707"/>
      <c r="BKG35" s="707"/>
      <c r="BKH35" s="707"/>
      <c r="BKI35" s="707"/>
      <c r="BKJ35" s="707"/>
      <c r="BKK35" s="707"/>
      <c r="BKL35" s="707"/>
      <c r="BKM35" s="707"/>
      <c r="BKN35" s="707"/>
      <c r="BKO35" s="707"/>
      <c r="BKP35" s="707"/>
      <c r="BKQ35" s="707"/>
      <c r="BKR35" s="707"/>
      <c r="BKS35" s="707"/>
      <c r="BKT35" s="707"/>
      <c r="BKU35" s="707"/>
      <c r="BKV35" s="707"/>
      <c r="BKW35" s="707"/>
      <c r="BKX35" s="707"/>
      <c r="BKY35" s="707"/>
      <c r="BKZ35" s="707"/>
      <c r="BLA35" s="707"/>
      <c r="BLB35" s="707"/>
      <c r="BLC35" s="707"/>
      <c r="BLD35" s="707"/>
      <c r="BLE35" s="707"/>
      <c r="BLF35" s="707"/>
      <c r="BLG35" s="707"/>
      <c r="BLH35" s="707"/>
      <c r="BLI35" s="707"/>
      <c r="BLJ35" s="707"/>
      <c r="BLK35" s="707"/>
      <c r="BLL35" s="707"/>
      <c r="BLM35" s="707"/>
      <c r="BLN35" s="707"/>
      <c r="BLO35" s="707"/>
      <c r="BLP35" s="707"/>
      <c r="BLQ35" s="707"/>
      <c r="BLR35" s="707"/>
      <c r="BLS35" s="707"/>
      <c r="BLT35" s="707"/>
      <c r="BLU35" s="707"/>
      <c r="BLV35" s="707"/>
      <c r="BLW35" s="707"/>
      <c r="BLX35" s="707"/>
      <c r="BLY35" s="707"/>
      <c r="BLZ35" s="707"/>
      <c r="BMA35" s="707"/>
      <c r="BMB35" s="707"/>
      <c r="BMC35" s="707"/>
      <c r="BMD35" s="707"/>
      <c r="BME35" s="707"/>
      <c r="BMF35" s="707"/>
      <c r="BMG35" s="707"/>
      <c r="BMH35" s="707"/>
      <c r="BMI35" s="707"/>
      <c r="BMJ35" s="707"/>
      <c r="BMK35" s="707"/>
      <c r="BML35" s="707"/>
      <c r="BMM35" s="707"/>
      <c r="BMN35" s="707"/>
      <c r="BMO35" s="707"/>
      <c r="BMP35" s="707"/>
      <c r="BMQ35" s="707"/>
      <c r="BMR35" s="707"/>
      <c r="BMS35" s="707"/>
      <c r="BMT35" s="707"/>
      <c r="BMU35" s="707"/>
      <c r="BMV35" s="707"/>
      <c r="BMW35" s="707"/>
      <c r="BMX35" s="707"/>
      <c r="BMY35" s="707"/>
      <c r="BMZ35" s="707"/>
      <c r="BNA35" s="707"/>
      <c r="BNB35" s="707"/>
      <c r="BNC35" s="707"/>
      <c r="BND35" s="707"/>
      <c r="BNE35" s="707"/>
      <c r="BNF35" s="707"/>
      <c r="BNG35" s="707"/>
      <c r="BNH35" s="707"/>
      <c r="BNI35" s="707"/>
      <c r="BNJ35" s="707"/>
      <c r="BNK35" s="707"/>
      <c r="BNL35" s="707"/>
      <c r="BNM35" s="707"/>
      <c r="BNN35" s="707"/>
      <c r="BNO35" s="707"/>
      <c r="BNP35" s="707"/>
      <c r="BNQ35" s="707"/>
      <c r="BNR35" s="707"/>
      <c r="BNS35" s="707"/>
      <c r="BNT35" s="707"/>
      <c r="BNU35" s="707"/>
      <c r="BNV35" s="707"/>
      <c r="BNW35" s="707"/>
      <c r="BNX35" s="707"/>
      <c r="BNY35" s="707"/>
      <c r="BNZ35" s="707"/>
      <c r="BOA35" s="707"/>
      <c r="BOB35" s="707"/>
      <c r="BOC35" s="707"/>
      <c r="BOD35" s="707"/>
      <c r="BOE35" s="707"/>
      <c r="BOF35" s="707"/>
      <c r="BOG35" s="707"/>
      <c r="BOH35" s="707"/>
      <c r="BOI35" s="707"/>
      <c r="BOJ35" s="707"/>
      <c r="BOK35" s="707"/>
      <c r="BOL35" s="707"/>
      <c r="BOM35" s="707"/>
      <c r="BON35" s="707"/>
      <c r="BOO35" s="707"/>
      <c r="BOP35" s="707"/>
      <c r="BOQ35" s="707"/>
      <c r="BOR35" s="707"/>
      <c r="BOS35" s="707"/>
      <c r="BOT35" s="707"/>
      <c r="BOU35" s="707"/>
      <c r="BOV35" s="707"/>
      <c r="BOW35" s="707"/>
      <c r="BOX35" s="707"/>
      <c r="BOY35" s="707"/>
      <c r="BOZ35" s="707"/>
      <c r="BPA35" s="707"/>
      <c r="BPB35" s="707"/>
      <c r="BPC35" s="707"/>
      <c r="BPD35" s="707"/>
      <c r="BPE35" s="707"/>
      <c r="BPF35" s="707"/>
      <c r="BPG35" s="707"/>
      <c r="BPH35" s="707"/>
      <c r="BPI35" s="707"/>
      <c r="BPJ35" s="707"/>
      <c r="BPK35" s="707"/>
      <c r="BPL35" s="707"/>
      <c r="BPM35" s="707"/>
      <c r="BPN35" s="707"/>
      <c r="BPO35" s="707"/>
      <c r="BPP35" s="707"/>
      <c r="BPQ35" s="707"/>
      <c r="BPR35" s="707"/>
      <c r="BPS35" s="707"/>
      <c r="BPT35" s="707"/>
      <c r="BPU35" s="707"/>
      <c r="BPV35" s="707"/>
      <c r="BPW35" s="707"/>
      <c r="BPX35" s="707"/>
      <c r="BPY35" s="707"/>
      <c r="BPZ35" s="707"/>
      <c r="BQA35" s="707"/>
      <c r="BQB35" s="707"/>
      <c r="BQC35" s="707"/>
      <c r="BQD35" s="707"/>
      <c r="BQE35" s="707"/>
      <c r="BQF35" s="707"/>
      <c r="BQG35" s="707"/>
      <c r="BQH35" s="707"/>
      <c r="BQI35" s="707"/>
      <c r="BQJ35" s="707"/>
      <c r="BQK35" s="707"/>
      <c r="BQL35" s="707"/>
      <c r="BQM35" s="707"/>
      <c r="BQN35" s="707"/>
      <c r="BQO35" s="707"/>
      <c r="BQP35" s="707"/>
      <c r="BQQ35" s="707"/>
      <c r="BQR35" s="707"/>
      <c r="BQS35" s="707"/>
      <c r="BQT35" s="707"/>
      <c r="BQU35" s="707"/>
      <c r="BQV35" s="707"/>
      <c r="BQW35" s="707"/>
      <c r="BQX35" s="707"/>
      <c r="BQY35" s="707"/>
      <c r="BQZ35" s="707"/>
      <c r="BRA35" s="707"/>
      <c r="BRB35" s="707"/>
      <c r="BRC35" s="707"/>
      <c r="BRD35" s="707"/>
      <c r="BRE35" s="707"/>
      <c r="BRF35" s="707"/>
      <c r="BRG35" s="707"/>
      <c r="BRH35" s="707"/>
      <c r="BRI35" s="707"/>
      <c r="BRJ35" s="707"/>
      <c r="BRK35" s="707"/>
      <c r="BRL35" s="707"/>
      <c r="BRM35" s="707"/>
      <c r="BRN35" s="707"/>
      <c r="BRO35" s="707"/>
      <c r="BRP35" s="707"/>
      <c r="BRQ35" s="707"/>
      <c r="BRR35" s="707"/>
      <c r="BRS35" s="707"/>
      <c r="BRT35" s="707"/>
      <c r="BRU35" s="707"/>
      <c r="BRV35" s="707"/>
      <c r="BRW35" s="707"/>
      <c r="BRX35" s="707"/>
      <c r="BRY35" s="707"/>
      <c r="BRZ35" s="707"/>
      <c r="BSA35" s="707"/>
      <c r="BSB35" s="707"/>
      <c r="BSC35" s="707"/>
      <c r="BSD35" s="707"/>
      <c r="BSE35" s="707"/>
      <c r="BSF35" s="707"/>
      <c r="BSG35" s="707"/>
      <c r="BSH35" s="707"/>
      <c r="BSI35" s="707"/>
      <c r="BSJ35" s="707"/>
      <c r="BSK35" s="707"/>
      <c r="BSL35" s="707"/>
      <c r="BSM35" s="707"/>
      <c r="BSN35" s="707"/>
      <c r="BSO35" s="707"/>
      <c r="BSP35" s="707"/>
      <c r="BSQ35" s="707"/>
      <c r="BSR35" s="707"/>
      <c r="BSS35" s="707"/>
      <c r="BST35" s="707"/>
      <c r="BSU35" s="707"/>
      <c r="BSV35" s="707"/>
      <c r="BSW35" s="707"/>
      <c r="BSX35" s="707"/>
      <c r="BSY35" s="707"/>
      <c r="BSZ35" s="707"/>
      <c r="BTA35" s="707"/>
      <c r="BTB35" s="707"/>
      <c r="BTC35" s="707"/>
      <c r="BTD35" s="707"/>
      <c r="BTE35" s="707"/>
      <c r="BTF35" s="707"/>
      <c r="BTG35" s="707"/>
      <c r="BTH35" s="707"/>
      <c r="BTI35" s="707"/>
      <c r="BTJ35" s="707"/>
      <c r="BTK35" s="707"/>
      <c r="BTL35" s="707"/>
      <c r="BTM35" s="707"/>
      <c r="BTN35" s="707"/>
      <c r="BTO35" s="707"/>
      <c r="BTP35" s="707"/>
      <c r="BTQ35" s="707"/>
      <c r="BTR35" s="707"/>
      <c r="BTS35" s="707"/>
      <c r="BTT35" s="707"/>
      <c r="BTU35" s="707"/>
      <c r="BTV35" s="707"/>
      <c r="BTW35" s="707"/>
      <c r="BTX35" s="707"/>
      <c r="BTY35" s="707"/>
      <c r="BTZ35" s="707"/>
      <c r="BUA35" s="707"/>
      <c r="BUB35" s="707"/>
      <c r="BUC35" s="707"/>
      <c r="BUD35" s="707"/>
      <c r="BUE35" s="707"/>
      <c r="BUF35" s="707"/>
      <c r="BUG35" s="707"/>
      <c r="BUH35" s="707"/>
      <c r="BUI35" s="707"/>
      <c r="BUJ35" s="707"/>
      <c r="BUK35" s="707"/>
      <c r="BUL35" s="707"/>
      <c r="BUM35" s="707"/>
      <c r="BUN35" s="707"/>
      <c r="BUO35" s="707"/>
      <c r="BUP35" s="707"/>
      <c r="BUQ35" s="707"/>
      <c r="BUR35" s="707"/>
      <c r="BUS35" s="707"/>
      <c r="BUT35" s="707"/>
      <c r="BUU35" s="707"/>
      <c r="BUV35" s="707"/>
      <c r="BUW35" s="707"/>
      <c r="BUX35" s="707"/>
      <c r="BUY35" s="707"/>
      <c r="BUZ35" s="707"/>
      <c r="BVA35" s="707"/>
      <c r="BVB35" s="707"/>
      <c r="BVC35" s="707"/>
      <c r="BVD35" s="707"/>
      <c r="BVE35" s="707"/>
      <c r="BVF35" s="707"/>
      <c r="BVG35" s="707"/>
      <c r="BVH35" s="707"/>
      <c r="BVI35" s="707"/>
      <c r="BVJ35" s="707"/>
      <c r="BVK35" s="707"/>
      <c r="BVL35" s="707"/>
      <c r="BVM35" s="707"/>
      <c r="BVN35" s="707"/>
      <c r="BVO35" s="707"/>
      <c r="BVP35" s="707"/>
      <c r="BVQ35" s="707"/>
      <c r="BVR35" s="707"/>
      <c r="BVS35" s="707"/>
      <c r="BVT35" s="707"/>
      <c r="BVU35" s="707"/>
      <c r="BVV35" s="707"/>
      <c r="BVW35" s="707"/>
      <c r="BVX35" s="707"/>
      <c r="BVY35" s="707"/>
      <c r="BVZ35" s="707"/>
      <c r="BWA35" s="707"/>
      <c r="BWB35" s="707"/>
      <c r="BWC35" s="707"/>
      <c r="BWD35" s="707"/>
      <c r="BWE35" s="707"/>
      <c r="BWF35" s="707"/>
      <c r="BWG35" s="707"/>
      <c r="BWH35" s="707"/>
      <c r="BWI35" s="707"/>
      <c r="BWJ35" s="707"/>
      <c r="BWK35" s="707"/>
      <c r="BWL35" s="707"/>
      <c r="BWM35" s="707"/>
      <c r="BWN35" s="707"/>
      <c r="BWO35" s="707"/>
      <c r="BWP35" s="707"/>
      <c r="BWQ35" s="707"/>
      <c r="BWR35" s="707"/>
      <c r="BWS35" s="707"/>
      <c r="BWT35" s="707"/>
      <c r="BWU35" s="707"/>
      <c r="BWV35" s="707"/>
      <c r="BWW35" s="707"/>
      <c r="BWX35" s="707"/>
      <c r="BWY35" s="707"/>
      <c r="BWZ35" s="707"/>
      <c r="BXA35" s="707"/>
      <c r="BXB35" s="707"/>
      <c r="BXC35" s="707"/>
      <c r="BXD35" s="707"/>
      <c r="BXE35" s="707"/>
      <c r="BXF35" s="707"/>
      <c r="BXG35" s="707"/>
      <c r="BXH35" s="707"/>
      <c r="BXI35" s="707"/>
      <c r="BXJ35" s="707"/>
      <c r="BXK35" s="707"/>
      <c r="BXL35" s="707"/>
      <c r="BXM35" s="707"/>
      <c r="BXN35" s="707"/>
      <c r="BXO35" s="707"/>
      <c r="BXP35" s="707"/>
      <c r="BXQ35" s="707"/>
      <c r="BXR35" s="707"/>
      <c r="BXS35" s="707"/>
      <c r="BXT35" s="707"/>
      <c r="BXU35" s="707"/>
      <c r="BXV35" s="707"/>
      <c r="BXW35" s="707"/>
      <c r="BXX35" s="707"/>
      <c r="BXY35" s="707"/>
      <c r="BXZ35" s="707"/>
      <c r="BYA35" s="707"/>
      <c r="BYB35" s="707"/>
      <c r="BYC35" s="707"/>
      <c r="BYD35" s="707"/>
      <c r="BYE35" s="707"/>
      <c r="BYF35" s="707"/>
      <c r="BYG35" s="707"/>
      <c r="BYH35" s="707"/>
      <c r="BYI35" s="707"/>
      <c r="BYJ35" s="707"/>
      <c r="BYK35" s="707"/>
      <c r="BYL35" s="707"/>
      <c r="BYM35" s="707"/>
      <c r="BYN35" s="707"/>
      <c r="BYO35" s="707"/>
      <c r="BYP35" s="707"/>
      <c r="BYQ35" s="707"/>
      <c r="BYR35" s="707"/>
      <c r="BYS35" s="707"/>
      <c r="BYT35" s="707"/>
      <c r="BYU35" s="707"/>
      <c r="BYV35" s="707"/>
      <c r="BYW35" s="707"/>
      <c r="BYX35" s="707"/>
      <c r="BYY35" s="707"/>
      <c r="BYZ35" s="707"/>
      <c r="BZA35" s="707"/>
      <c r="BZB35" s="707"/>
      <c r="BZC35" s="707"/>
      <c r="BZD35" s="707"/>
      <c r="BZE35" s="707"/>
      <c r="BZF35" s="707"/>
      <c r="BZG35" s="707"/>
      <c r="BZH35" s="707"/>
      <c r="BZI35" s="707"/>
      <c r="BZJ35" s="707"/>
      <c r="BZK35" s="707"/>
      <c r="BZL35" s="707"/>
      <c r="BZM35" s="707"/>
      <c r="BZN35" s="707"/>
      <c r="BZO35" s="707"/>
      <c r="BZP35" s="707"/>
      <c r="BZQ35" s="707"/>
      <c r="BZR35" s="707"/>
      <c r="BZS35" s="707"/>
      <c r="BZT35" s="707"/>
      <c r="BZU35" s="707"/>
      <c r="BZV35" s="707"/>
      <c r="BZW35" s="707"/>
      <c r="BZX35" s="707"/>
      <c r="BZY35" s="707"/>
      <c r="BZZ35" s="707"/>
      <c r="CAA35" s="707"/>
      <c r="CAB35" s="707"/>
      <c r="CAC35" s="707"/>
      <c r="CAD35" s="707"/>
      <c r="CAE35" s="707"/>
      <c r="CAF35" s="707"/>
      <c r="CAG35" s="707"/>
      <c r="CAH35" s="707"/>
      <c r="CAI35" s="707"/>
      <c r="CAJ35" s="707"/>
      <c r="CAK35" s="707"/>
      <c r="CAL35" s="707"/>
      <c r="CAM35" s="707"/>
      <c r="CAN35" s="707"/>
      <c r="CAO35" s="707"/>
      <c r="CAP35" s="707"/>
      <c r="CAQ35" s="707"/>
      <c r="CAR35" s="707"/>
      <c r="CAS35" s="707"/>
      <c r="CAT35" s="707"/>
      <c r="CAU35" s="707"/>
      <c r="CAV35" s="707"/>
      <c r="CAW35" s="707"/>
      <c r="CAX35" s="707"/>
      <c r="CAY35" s="707"/>
      <c r="CAZ35" s="707"/>
      <c r="CBA35" s="707"/>
      <c r="CBB35" s="707"/>
      <c r="CBC35" s="707"/>
      <c r="CBD35" s="707"/>
      <c r="CBE35" s="707"/>
      <c r="CBF35" s="707"/>
      <c r="CBG35" s="707"/>
      <c r="CBH35" s="707"/>
      <c r="CBI35" s="707"/>
      <c r="CBJ35" s="707"/>
      <c r="CBK35" s="707"/>
      <c r="CBL35" s="707"/>
      <c r="CBM35" s="707"/>
      <c r="CBN35" s="707"/>
      <c r="CBO35" s="707"/>
      <c r="CBP35" s="707"/>
      <c r="CBQ35" s="707"/>
      <c r="CBR35" s="707"/>
      <c r="CBS35" s="707"/>
      <c r="CBT35" s="707"/>
      <c r="CBU35" s="707"/>
      <c r="CBV35" s="707"/>
      <c r="CBW35" s="707"/>
      <c r="CBX35" s="707"/>
      <c r="CBY35" s="707"/>
      <c r="CBZ35" s="707"/>
      <c r="CCA35" s="707"/>
      <c r="CCB35" s="707"/>
      <c r="CCC35" s="707"/>
      <c r="CCD35" s="707"/>
      <c r="CCE35" s="707"/>
      <c r="CCF35" s="707"/>
      <c r="CCG35" s="707"/>
      <c r="CCH35" s="707"/>
      <c r="CCI35" s="707"/>
      <c r="CCJ35" s="707"/>
      <c r="CCK35" s="707"/>
      <c r="CCL35" s="707"/>
      <c r="CCM35" s="707"/>
      <c r="CCN35" s="707"/>
      <c r="CCO35" s="707"/>
      <c r="CCP35" s="707"/>
      <c r="CCQ35" s="707"/>
      <c r="CCR35" s="707"/>
      <c r="CCS35" s="707"/>
      <c r="CCT35" s="707"/>
      <c r="CCU35" s="707"/>
      <c r="CCV35" s="707"/>
      <c r="CCW35" s="707"/>
      <c r="CCX35" s="707"/>
      <c r="CCY35" s="707"/>
      <c r="CCZ35" s="707"/>
      <c r="CDA35" s="707"/>
      <c r="CDB35" s="707"/>
      <c r="CDC35" s="707"/>
      <c r="CDD35" s="707"/>
      <c r="CDE35" s="707"/>
      <c r="CDF35" s="707"/>
      <c r="CDG35" s="707"/>
      <c r="CDH35" s="707"/>
      <c r="CDI35" s="707"/>
      <c r="CDJ35" s="707"/>
      <c r="CDK35" s="707"/>
      <c r="CDL35" s="707"/>
      <c r="CDM35" s="707"/>
      <c r="CDN35" s="707"/>
      <c r="CDO35" s="707"/>
      <c r="CDP35" s="707"/>
      <c r="CDQ35" s="707"/>
      <c r="CDR35" s="707"/>
      <c r="CDS35" s="707"/>
      <c r="CDT35" s="707"/>
      <c r="CDU35" s="707"/>
      <c r="CDV35" s="707"/>
      <c r="CDW35" s="707"/>
      <c r="CDX35" s="707"/>
      <c r="CDY35" s="707"/>
      <c r="CDZ35" s="707"/>
      <c r="CEA35" s="707"/>
      <c r="CEB35" s="707"/>
      <c r="CEC35" s="707"/>
      <c r="CED35" s="707"/>
      <c r="CEE35" s="707"/>
      <c r="CEF35" s="707"/>
      <c r="CEG35" s="707"/>
      <c r="CEH35" s="707"/>
      <c r="CEI35" s="707"/>
      <c r="CEJ35" s="707"/>
      <c r="CEK35" s="707"/>
      <c r="CEL35" s="707"/>
      <c r="CEM35" s="707"/>
      <c r="CEN35" s="707"/>
      <c r="CEO35" s="707"/>
      <c r="CEP35" s="707"/>
      <c r="CEQ35" s="707"/>
      <c r="CER35" s="707"/>
      <c r="CES35" s="707"/>
      <c r="CET35" s="707"/>
      <c r="CEU35" s="707"/>
      <c r="CEV35" s="707"/>
      <c r="CEW35" s="707"/>
      <c r="CEX35" s="707"/>
      <c r="CEY35" s="707"/>
      <c r="CEZ35" s="707"/>
      <c r="CFA35" s="707"/>
      <c r="CFB35" s="707"/>
      <c r="CFC35" s="707"/>
      <c r="CFD35" s="707"/>
      <c r="CFE35" s="707"/>
      <c r="CFF35" s="707"/>
      <c r="CFG35" s="707"/>
      <c r="CFH35" s="707"/>
      <c r="CFI35" s="707"/>
      <c r="CFJ35" s="707"/>
      <c r="CFK35" s="707"/>
      <c r="CFL35" s="707"/>
      <c r="CFM35" s="707"/>
      <c r="CFN35" s="707"/>
      <c r="CFO35" s="707"/>
      <c r="CFP35" s="707"/>
      <c r="CFQ35" s="707"/>
      <c r="CFR35" s="707"/>
      <c r="CFS35" s="707"/>
      <c r="CFT35" s="707"/>
      <c r="CFU35" s="707"/>
      <c r="CFV35" s="707"/>
      <c r="CFW35" s="707"/>
      <c r="CFX35" s="707"/>
      <c r="CFY35" s="707"/>
      <c r="CFZ35" s="707"/>
      <c r="CGA35" s="707"/>
      <c r="CGB35" s="707"/>
      <c r="CGC35" s="707"/>
      <c r="CGD35" s="707"/>
      <c r="CGE35" s="707"/>
      <c r="CGF35" s="707"/>
      <c r="CGG35" s="707"/>
      <c r="CGH35" s="707"/>
      <c r="CGI35" s="707"/>
      <c r="CGJ35" s="707"/>
      <c r="CGK35" s="707"/>
      <c r="CGL35" s="707"/>
      <c r="CGM35" s="707"/>
      <c r="CGN35" s="707"/>
      <c r="CGO35" s="707"/>
      <c r="CGP35" s="707"/>
      <c r="CGQ35" s="707"/>
      <c r="CGR35" s="707"/>
      <c r="CGS35" s="707"/>
      <c r="CGT35" s="707"/>
      <c r="CGU35" s="707"/>
      <c r="CGV35" s="707"/>
      <c r="CGW35" s="707"/>
      <c r="CGX35" s="707"/>
      <c r="CGY35" s="707"/>
      <c r="CGZ35" s="707"/>
      <c r="CHA35" s="707"/>
      <c r="CHB35" s="707"/>
      <c r="CHC35" s="707"/>
      <c r="CHD35" s="707"/>
      <c r="CHE35" s="707"/>
      <c r="CHF35" s="707"/>
      <c r="CHG35" s="707"/>
      <c r="CHH35" s="707"/>
      <c r="CHI35" s="707"/>
      <c r="CHJ35" s="707"/>
      <c r="CHK35" s="707"/>
      <c r="CHL35" s="707"/>
      <c r="CHM35" s="707"/>
      <c r="CHN35" s="707"/>
      <c r="CHO35" s="707"/>
      <c r="CHP35" s="707"/>
      <c r="CHQ35" s="707"/>
      <c r="CHR35" s="707"/>
      <c r="CHS35" s="707"/>
      <c r="CHT35" s="707"/>
      <c r="CHU35" s="707"/>
      <c r="CHV35" s="707"/>
      <c r="CHW35" s="707"/>
      <c r="CHX35" s="707"/>
      <c r="CHY35" s="707"/>
      <c r="CHZ35" s="707"/>
      <c r="CIA35" s="707"/>
      <c r="CIB35" s="707"/>
      <c r="CIC35" s="707"/>
      <c r="CID35" s="707"/>
      <c r="CIE35" s="707"/>
      <c r="CIF35" s="707"/>
      <c r="CIG35" s="707"/>
      <c r="CIH35" s="707"/>
      <c r="CII35" s="707"/>
      <c r="CIJ35" s="707"/>
      <c r="CIK35" s="707"/>
      <c r="CIL35" s="707"/>
      <c r="CIM35" s="707"/>
      <c r="CIN35" s="707"/>
      <c r="CIO35" s="707"/>
      <c r="CIP35" s="707"/>
      <c r="CIQ35" s="707"/>
      <c r="CIR35" s="707"/>
      <c r="CIS35" s="707"/>
      <c r="CIT35" s="707"/>
      <c r="CIU35" s="707"/>
      <c r="CIV35" s="707"/>
      <c r="CIW35" s="707"/>
      <c r="CIX35" s="707"/>
      <c r="CIY35" s="707"/>
      <c r="CIZ35" s="707"/>
      <c r="CJA35" s="707"/>
      <c r="CJB35" s="707"/>
      <c r="CJC35" s="707"/>
      <c r="CJD35" s="707"/>
      <c r="CJE35" s="707"/>
      <c r="CJF35" s="707"/>
      <c r="CJG35" s="707"/>
      <c r="CJH35" s="707"/>
      <c r="CJI35" s="707"/>
      <c r="CJJ35" s="707"/>
      <c r="CJK35" s="707"/>
      <c r="CJL35" s="707"/>
      <c r="CJM35" s="707"/>
      <c r="CJN35" s="707"/>
      <c r="CJO35" s="707"/>
      <c r="CJP35" s="707"/>
      <c r="CJQ35" s="707"/>
      <c r="CJR35" s="707"/>
      <c r="CJS35" s="707"/>
      <c r="CJT35" s="707"/>
      <c r="CJU35" s="707"/>
      <c r="CJV35" s="707"/>
      <c r="CJW35" s="707"/>
      <c r="CJX35" s="707"/>
      <c r="CJY35" s="707"/>
      <c r="CJZ35" s="707"/>
      <c r="CKA35" s="707"/>
      <c r="CKB35" s="707"/>
      <c r="CKC35" s="707"/>
      <c r="CKD35" s="707"/>
      <c r="CKE35" s="707"/>
      <c r="CKF35" s="707"/>
      <c r="CKG35" s="707"/>
      <c r="CKH35" s="707"/>
      <c r="CKI35" s="707"/>
      <c r="CKJ35" s="707"/>
      <c r="CKK35" s="707"/>
      <c r="CKL35" s="707"/>
      <c r="CKM35" s="707"/>
      <c r="CKN35" s="707"/>
      <c r="CKO35" s="707"/>
      <c r="CKP35" s="707"/>
      <c r="CKQ35" s="707"/>
      <c r="CKR35" s="707"/>
      <c r="CKS35" s="707"/>
      <c r="CKT35" s="707"/>
      <c r="CKU35" s="707"/>
      <c r="CKV35" s="707"/>
      <c r="CKW35" s="707"/>
      <c r="CKX35" s="707"/>
      <c r="CKY35" s="707"/>
      <c r="CKZ35" s="707"/>
      <c r="CLA35" s="707"/>
      <c r="CLB35" s="707"/>
      <c r="CLC35" s="707"/>
      <c r="CLD35" s="707"/>
      <c r="CLE35" s="707"/>
      <c r="CLF35" s="707"/>
      <c r="CLG35" s="707"/>
      <c r="CLH35" s="707"/>
      <c r="CLI35" s="707"/>
      <c r="CLJ35" s="707"/>
      <c r="CLK35" s="707"/>
      <c r="CLL35" s="707"/>
      <c r="CLM35" s="707"/>
      <c r="CLN35" s="707"/>
      <c r="CLO35" s="707"/>
      <c r="CLP35" s="707"/>
      <c r="CLQ35" s="707"/>
      <c r="CLR35" s="707"/>
      <c r="CLS35" s="707"/>
      <c r="CLT35" s="707"/>
      <c r="CLU35" s="707"/>
      <c r="CLV35" s="707"/>
      <c r="CLW35" s="707"/>
      <c r="CLX35" s="707"/>
      <c r="CLY35" s="707"/>
      <c r="CLZ35" s="707"/>
      <c r="CMA35" s="707"/>
      <c r="CMB35" s="707"/>
      <c r="CMC35" s="707"/>
      <c r="CMD35" s="707"/>
      <c r="CME35" s="707"/>
      <c r="CMF35" s="707"/>
      <c r="CMG35" s="707"/>
      <c r="CMH35" s="707"/>
      <c r="CMI35" s="707"/>
      <c r="CMJ35" s="707"/>
      <c r="CMK35" s="707"/>
      <c r="CML35" s="707"/>
      <c r="CMM35" s="707"/>
      <c r="CMN35" s="707"/>
      <c r="CMO35" s="707"/>
      <c r="CMP35" s="707"/>
      <c r="CMQ35" s="707"/>
      <c r="CMR35" s="707"/>
      <c r="CMS35" s="707"/>
      <c r="CMT35" s="707"/>
      <c r="CMU35" s="707"/>
      <c r="CMV35" s="707"/>
      <c r="CMW35" s="707"/>
      <c r="CMX35" s="707"/>
      <c r="CMY35" s="707"/>
      <c r="CMZ35" s="707"/>
      <c r="CNA35" s="707"/>
      <c r="CNB35" s="707"/>
      <c r="CNC35" s="707"/>
      <c r="CND35" s="707"/>
      <c r="CNE35" s="707"/>
      <c r="CNF35" s="707"/>
      <c r="CNG35" s="707"/>
      <c r="CNH35" s="707"/>
      <c r="CNI35" s="707"/>
      <c r="CNJ35" s="707"/>
      <c r="CNK35" s="707"/>
      <c r="CNL35" s="707"/>
      <c r="CNM35" s="707"/>
      <c r="CNN35" s="707"/>
      <c r="CNO35" s="707"/>
      <c r="CNP35" s="707"/>
      <c r="CNQ35" s="707"/>
      <c r="CNR35" s="707"/>
      <c r="CNS35" s="707"/>
      <c r="CNT35" s="707"/>
      <c r="CNU35" s="707"/>
      <c r="CNV35" s="707"/>
      <c r="CNW35" s="707"/>
      <c r="CNX35" s="707"/>
      <c r="CNY35" s="707"/>
      <c r="CNZ35" s="707"/>
      <c r="COA35" s="707"/>
      <c r="COB35" s="707"/>
      <c r="COC35" s="707"/>
      <c r="COD35" s="707"/>
      <c r="COE35" s="707"/>
      <c r="COF35" s="707"/>
      <c r="COG35" s="707"/>
      <c r="COH35" s="707"/>
      <c r="COI35" s="707"/>
      <c r="COJ35" s="707"/>
      <c r="COK35" s="707"/>
      <c r="COL35" s="707"/>
      <c r="COM35" s="707"/>
      <c r="CON35" s="707"/>
      <c r="COO35" s="707"/>
      <c r="COP35" s="707"/>
      <c r="COQ35" s="707"/>
      <c r="COR35" s="707"/>
      <c r="COS35" s="707"/>
      <c r="COT35" s="707"/>
      <c r="COU35" s="707"/>
      <c r="COV35" s="707"/>
      <c r="COW35" s="707"/>
      <c r="COX35" s="707"/>
      <c r="COY35" s="707"/>
      <c r="COZ35" s="707"/>
      <c r="CPA35" s="707"/>
      <c r="CPB35" s="707"/>
      <c r="CPC35" s="707"/>
      <c r="CPD35" s="707"/>
      <c r="CPE35" s="707"/>
      <c r="CPF35" s="707"/>
      <c r="CPG35" s="707"/>
      <c r="CPH35" s="707"/>
      <c r="CPI35" s="707"/>
      <c r="CPJ35" s="707"/>
      <c r="CPK35" s="707"/>
      <c r="CPL35" s="707"/>
      <c r="CPM35" s="707"/>
      <c r="CPN35" s="707"/>
      <c r="CPO35" s="707"/>
      <c r="CPP35" s="707"/>
      <c r="CPQ35" s="707"/>
      <c r="CPR35" s="707"/>
      <c r="CPS35" s="707"/>
      <c r="CPT35" s="707"/>
      <c r="CPU35" s="707"/>
      <c r="CPV35" s="707"/>
      <c r="CPW35" s="707"/>
      <c r="CPX35" s="707"/>
      <c r="CPY35" s="707"/>
      <c r="CPZ35" s="707"/>
      <c r="CQA35" s="707"/>
      <c r="CQB35" s="707"/>
      <c r="CQC35" s="707"/>
      <c r="CQD35" s="707"/>
      <c r="CQE35" s="707"/>
      <c r="CQF35" s="707"/>
      <c r="CQG35" s="707"/>
      <c r="CQH35" s="707"/>
      <c r="CQI35" s="707"/>
      <c r="CQJ35" s="707"/>
      <c r="CQK35" s="707"/>
      <c r="CQL35" s="707"/>
      <c r="CQM35" s="707"/>
      <c r="CQN35" s="707"/>
      <c r="CQO35" s="707"/>
      <c r="CQP35" s="707"/>
      <c r="CQQ35" s="707"/>
      <c r="CQR35" s="707"/>
      <c r="CQS35" s="707"/>
      <c r="CQT35" s="707"/>
      <c r="CQU35" s="707"/>
      <c r="CQV35" s="707"/>
      <c r="CQW35" s="707"/>
      <c r="CQX35" s="707"/>
      <c r="CQY35" s="707"/>
      <c r="CQZ35" s="707"/>
      <c r="CRA35" s="707"/>
      <c r="CRB35" s="707"/>
      <c r="CRC35" s="707"/>
      <c r="CRD35" s="707"/>
      <c r="CRE35" s="707"/>
      <c r="CRF35" s="707"/>
      <c r="CRG35" s="707"/>
      <c r="CRH35" s="707"/>
      <c r="CRI35" s="707"/>
      <c r="CRJ35" s="707"/>
      <c r="CRK35" s="707"/>
      <c r="CRL35" s="707"/>
      <c r="CRM35" s="707"/>
      <c r="CRN35" s="707"/>
      <c r="CRO35" s="707"/>
      <c r="CRP35" s="707"/>
      <c r="CRQ35" s="707"/>
      <c r="CRR35" s="707"/>
      <c r="CRS35" s="707"/>
      <c r="CRT35" s="707"/>
      <c r="CRU35" s="707"/>
      <c r="CRV35" s="707"/>
      <c r="CRW35" s="707"/>
      <c r="CRX35" s="707"/>
      <c r="CRY35" s="707"/>
      <c r="CRZ35" s="707"/>
      <c r="CSA35" s="707"/>
      <c r="CSB35" s="707"/>
      <c r="CSC35" s="707"/>
      <c r="CSD35" s="707"/>
      <c r="CSE35" s="707"/>
      <c r="CSF35" s="707"/>
      <c r="CSG35" s="707"/>
      <c r="CSH35" s="707"/>
      <c r="CSI35" s="707"/>
      <c r="CSJ35" s="707"/>
      <c r="CSK35" s="707"/>
      <c r="CSL35" s="707"/>
      <c r="CSM35" s="707"/>
      <c r="CSN35" s="707"/>
      <c r="CSO35" s="707"/>
      <c r="CSP35" s="707"/>
      <c r="CSQ35" s="707"/>
      <c r="CSR35" s="707"/>
      <c r="CSS35" s="707"/>
      <c r="CST35" s="707"/>
      <c r="CSU35" s="707"/>
      <c r="CSV35" s="707"/>
      <c r="CSW35" s="707"/>
      <c r="CSX35" s="707"/>
      <c r="CSY35" s="707"/>
      <c r="CSZ35" s="707"/>
      <c r="CTA35" s="707"/>
      <c r="CTB35" s="707"/>
      <c r="CTC35" s="707"/>
      <c r="CTD35" s="707"/>
      <c r="CTE35" s="707"/>
      <c r="CTF35" s="707"/>
      <c r="CTG35" s="707"/>
      <c r="CTH35" s="707"/>
      <c r="CTI35" s="707"/>
      <c r="CTJ35" s="707"/>
      <c r="CTK35" s="707"/>
      <c r="CTL35" s="707"/>
      <c r="CTM35" s="707"/>
      <c r="CTN35" s="707"/>
      <c r="CTO35" s="707"/>
      <c r="CTP35" s="707"/>
      <c r="CTQ35" s="707"/>
      <c r="CTR35" s="707"/>
      <c r="CTS35" s="707"/>
      <c r="CTT35" s="707"/>
      <c r="CTU35" s="707"/>
      <c r="CTV35" s="707"/>
      <c r="CTW35" s="707"/>
      <c r="CTX35" s="707"/>
      <c r="CTY35" s="707"/>
      <c r="CTZ35" s="707"/>
      <c r="CUA35" s="707"/>
      <c r="CUB35" s="707"/>
      <c r="CUC35" s="707"/>
      <c r="CUD35" s="707"/>
      <c r="CUE35" s="707"/>
      <c r="CUF35" s="707"/>
      <c r="CUG35" s="707"/>
      <c r="CUH35" s="707"/>
      <c r="CUI35" s="707"/>
      <c r="CUJ35" s="707"/>
      <c r="CUK35" s="707"/>
      <c r="CUL35" s="707"/>
      <c r="CUM35" s="707"/>
      <c r="CUN35" s="707"/>
      <c r="CUO35" s="707"/>
      <c r="CUP35" s="707"/>
      <c r="CUQ35" s="707"/>
      <c r="CUR35" s="707"/>
      <c r="CUS35" s="707"/>
      <c r="CUT35" s="707"/>
      <c r="CUU35" s="707"/>
      <c r="CUV35" s="707"/>
      <c r="CUW35" s="707"/>
      <c r="CUX35" s="707"/>
      <c r="CUY35" s="707"/>
      <c r="CUZ35" s="707"/>
      <c r="CVA35" s="707"/>
      <c r="CVB35" s="707"/>
      <c r="CVC35" s="707"/>
      <c r="CVD35" s="707"/>
      <c r="CVE35" s="707"/>
      <c r="CVF35" s="707"/>
      <c r="CVG35" s="707"/>
      <c r="CVH35" s="707"/>
      <c r="CVI35" s="707"/>
      <c r="CVJ35" s="707"/>
      <c r="CVK35" s="707"/>
      <c r="CVL35" s="707"/>
      <c r="CVM35" s="707"/>
      <c r="CVN35" s="707"/>
      <c r="CVO35" s="707"/>
      <c r="CVP35" s="707"/>
      <c r="CVQ35" s="707"/>
      <c r="CVR35" s="707"/>
      <c r="CVS35" s="707"/>
      <c r="CVT35" s="707"/>
      <c r="CVU35" s="707"/>
      <c r="CVV35" s="707"/>
      <c r="CVW35" s="707"/>
      <c r="CVX35" s="707"/>
      <c r="CVY35" s="707"/>
      <c r="CVZ35" s="707"/>
      <c r="CWA35" s="707"/>
      <c r="CWB35" s="707"/>
      <c r="CWC35" s="707"/>
      <c r="CWD35" s="707"/>
      <c r="CWE35" s="707"/>
      <c r="CWF35" s="707"/>
      <c r="CWG35" s="707"/>
      <c r="CWH35" s="707"/>
      <c r="CWI35" s="707"/>
      <c r="CWJ35" s="707"/>
      <c r="CWK35" s="707"/>
      <c r="CWL35" s="707"/>
      <c r="CWM35" s="707"/>
      <c r="CWN35" s="707"/>
      <c r="CWO35" s="707"/>
      <c r="CWP35" s="707"/>
      <c r="CWQ35" s="707"/>
      <c r="CWR35" s="707"/>
      <c r="CWS35" s="707"/>
      <c r="CWT35" s="707"/>
      <c r="CWU35" s="707"/>
      <c r="CWV35" s="707"/>
      <c r="CWW35" s="707"/>
      <c r="CWX35" s="707"/>
      <c r="CWY35" s="707"/>
      <c r="CWZ35" s="707"/>
      <c r="CXA35" s="707"/>
      <c r="CXB35" s="707"/>
      <c r="CXC35" s="707"/>
      <c r="CXD35" s="707"/>
      <c r="CXE35" s="707"/>
      <c r="CXF35" s="707"/>
      <c r="CXG35" s="707"/>
      <c r="CXH35" s="707"/>
      <c r="CXI35" s="707"/>
      <c r="CXJ35" s="707"/>
      <c r="CXK35" s="707"/>
      <c r="CXL35" s="707"/>
      <c r="CXM35" s="707"/>
      <c r="CXN35" s="707"/>
      <c r="CXO35" s="707"/>
      <c r="CXP35" s="707"/>
      <c r="CXQ35" s="707"/>
      <c r="CXR35" s="707"/>
      <c r="CXS35" s="707"/>
      <c r="CXT35" s="707"/>
      <c r="CXU35" s="707"/>
      <c r="CXV35" s="707"/>
      <c r="CXW35" s="707"/>
      <c r="CXX35" s="707"/>
      <c r="CXY35" s="707"/>
      <c r="CXZ35" s="707"/>
      <c r="CYA35" s="707"/>
      <c r="CYB35" s="707"/>
      <c r="CYC35" s="707"/>
      <c r="CYD35" s="707"/>
      <c r="CYE35" s="707"/>
      <c r="CYF35" s="707"/>
      <c r="CYG35" s="707"/>
      <c r="CYH35" s="707"/>
      <c r="CYI35" s="707"/>
      <c r="CYJ35" s="707"/>
      <c r="CYK35" s="707"/>
      <c r="CYL35" s="707"/>
      <c r="CYM35" s="707"/>
      <c r="CYN35" s="707"/>
      <c r="CYO35" s="707"/>
      <c r="CYP35" s="707"/>
      <c r="CYQ35" s="707"/>
      <c r="CYR35" s="707"/>
      <c r="CYS35" s="707"/>
      <c r="CYT35" s="707"/>
      <c r="CYU35" s="707"/>
      <c r="CYV35" s="707"/>
      <c r="CYW35" s="707"/>
      <c r="CYX35" s="707"/>
      <c r="CYY35" s="707"/>
      <c r="CYZ35" s="707"/>
      <c r="CZA35" s="707"/>
      <c r="CZB35" s="707"/>
      <c r="CZC35" s="707"/>
      <c r="CZD35" s="707"/>
      <c r="CZE35" s="707"/>
      <c r="CZF35" s="707"/>
      <c r="CZG35" s="707"/>
      <c r="CZH35" s="707"/>
      <c r="CZI35" s="707"/>
      <c r="CZJ35" s="707"/>
      <c r="CZK35" s="707"/>
      <c r="CZL35" s="707"/>
      <c r="CZM35" s="707"/>
      <c r="CZN35" s="707"/>
      <c r="CZO35" s="707"/>
      <c r="CZP35" s="707"/>
      <c r="CZQ35" s="707"/>
      <c r="CZR35" s="707"/>
      <c r="CZS35" s="707"/>
      <c r="CZT35" s="707"/>
      <c r="CZU35" s="707"/>
      <c r="CZV35" s="707"/>
      <c r="CZW35" s="707"/>
      <c r="CZX35" s="707"/>
      <c r="CZY35" s="707"/>
      <c r="CZZ35" s="707"/>
      <c r="DAA35" s="707"/>
      <c r="DAB35" s="707"/>
      <c r="DAC35" s="707"/>
      <c r="DAD35" s="707"/>
      <c r="DAE35" s="707"/>
      <c r="DAF35" s="707"/>
      <c r="DAG35" s="707"/>
      <c r="DAH35" s="707"/>
      <c r="DAI35" s="707"/>
      <c r="DAJ35" s="707"/>
      <c r="DAK35" s="707"/>
      <c r="DAL35" s="707"/>
      <c r="DAM35" s="707"/>
      <c r="DAN35" s="707"/>
      <c r="DAO35" s="707"/>
      <c r="DAP35" s="707"/>
      <c r="DAQ35" s="707"/>
      <c r="DAR35" s="707"/>
      <c r="DAS35" s="707"/>
      <c r="DAT35" s="707"/>
      <c r="DAU35" s="707"/>
      <c r="DAV35" s="707"/>
      <c r="DAW35" s="707"/>
      <c r="DAX35" s="707"/>
      <c r="DAY35" s="707"/>
      <c r="DAZ35" s="707"/>
      <c r="DBA35" s="707"/>
      <c r="DBB35" s="707"/>
      <c r="DBC35" s="707"/>
      <c r="DBD35" s="707"/>
      <c r="DBE35" s="707"/>
      <c r="DBF35" s="707"/>
      <c r="DBG35" s="707"/>
      <c r="DBH35" s="707"/>
      <c r="DBI35" s="707"/>
      <c r="DBJ35" s="707"/>
      <c r="DBK35" s="707"/>
      <c r="DBL35" s="707"/>
      <c r="DBM35" s="707"/>
      <c r="DBN35" s="707"/>
      <c r="DBO35" s="707"/>
      <c r="DBP35" s="707"/>
      <c r="DBQ35" s="707"/>
      <c r="DBR35" s="707"/>
      <c r="DBS35" s="707"/>
      <c r="DBT35" s="707"/>
      <c r="DBU35" s="707"/>
      <c r="DBV35" s="707"/>
      <c r="DBW35" s="707"/>
      <c r="DBX35" s="707"/>
      <c r="DBY35" s="707"/>
      <c r="DBZ35" s="707"/>
      <c r="DCA35" s="707"/>
      <c r="DCB35" s="707"/>
      <c r="DCC35" s="707"/>
      <c r="DCD35" s="707"/>
      <c r="DCE35" s="707"/>
      <c r="DCF35" s="707"/>
      <c r="DCG35" s="707"/>
      <c r="DCH35" s="707"/>
      <c r="DCI35" s="707"/>
      <c r="DCJ35" s="707"/>
      <c r="DCK35" s="707"/>
      <c r="DCL35" s="707"/>
      <c r="DCM35" s="707"/>
      <c r="DCN35" s="707"/>
      <c r="DCO35" s="707"/>
      <c r="DCP35" s="707"/>
      <c r="DCQ35" s="707"/>
      <c r="DCR35" s="707"/>
      <c r="DCS35" s="707"/>
      <c r="DCT35" s="707"/>
      <c r="DCU35" s="707"/>
      <c r="DCV35" s="707"/>
      <c r="DCW35" s="707"/>
      <c r="DCX35" s="707"/>
      <c r="DCY35" s="707"/>
      <c r="DCZ35" s="707"/>
      <c r="DDA35" s="707"/>
      <c r="DDB35" s="707"/>
      <c r="DDC35" s="707"/>
      <c r="DDD35" s="707"/>
      <c r="DDE35" s="707"/>
      <c r="DDF35" s="707"/>
      <c r="DDG35" s="707"/>
      <c r="DDH35" s="707"/>
      <c r="DDI35" s="707"/>
      <c r="DDJ35" s="707"/>
      <c r="DDK35" s="707"/>
      <c r="DDL35" s="707"/>
      <c r="DDM35" s="707"/>
      <c r="DDN35" s="707"/>
      <c r="DDO35" s="707"/>
      <c r="DDP35" s="707"/>
      <c r="DDQ35" s="707"/>
      <c r="DDR35" s="707"/>
      <c r="DDS35" s="707"/>
      <c r="DDT35" s="707"/>
      <c r="DDU35" s="707"/>
      <c r="DDV35" s="707"/>
      <c r="DDW35" s="707"/>
      <c r="DDX35" s="707"/>
      <c r="DDY35" s="707"/>
      <c r="DDZ35" s="707"/>
      <c r="DEA35" s="707"/>
      <c r="DEB35" s="707"/>
      <c r="DEC35" s="707"/>
      <c r="DED35" s="707"/>
      <c r="DEE35" s="707"/>
      <c r="DEF35" s="707"/>
      <c r="DEG35" s="707"/>
      <c r="DEH35" s="707"/>
      <c r="DEI35" s="707"/>
      <c r="DEJ35" s="707"/>
      <c r="DEK35" s="707"/>
      <c r="DEL35" s="707"/>
      <c r="DEM35" s="707"/>
      <c r="DEN35" s="707"/>
      <c r="DEO35" s="707"/>
      <c r="DEP35" s="707"/>
      <c r="DEQ35" s="707"/>
      <c r="DER35" s="707"/>
      <c r="DES35" s="707"/>
      <c r="DET35" s="707"/>
      <c r="DEU35" s="707"/>
      <c r="DEV35" s="707"/>
      <c r="DEW35" s="707"/>
      <c r="DEX35" s="707"/>
      <c r="DEY35" s="707"/>
      <c r="DEZ35" s="707"/>
      <c r="DFA35" s="707"/>
      <c r="DFB35" s="707"/>
      <c r="DFC35" s="707"/>
      <c r="DFD35" s="707"/>
      <c r="DFE35" s="707"/>
      <c r="DFF35" s="707"/>
      <c r="DFG35" s="707"/>
      <c r="DFH35" s="707"/>
      <c r="DFI35" s="707"/>
      <c r="DFJ35" s="707"/>
      <c r="DFK35" s="707"/>
      <c r="DFL35" s="707"/>
      <c r="DFM35" s="707"/>
      <c r="DFN35" s="707"/>
      <c r="DFO35" s="707"/>
      <c r="DFP35" s="707"/>
      <c r="DFQ35" s="707"/>
      <c r="DFR35" s="707"/>
      <c r="DFS35" s="707"/>
      <c r="DFT35" s="707"/>
      <c r="DFU35" s="707"/>
      <c r="DFV35" s="707"/>
      <c r="DFW35" s="707"/>
      <c r="DFX35" s="707"/>
      <c r="DFY35" s="707"/>
      <c r="DFZ35" s="707"/>
      <c r="DGA35" s="707"/>
      <c r="DGB35" s="707"/>
      <c r="DGC35" s="707"/>
      <c r="DGD35" s="707"/>
      <c r="DGE35" s="707"/>
      <c r="DGF35" s="707"/>
      <c r="DGG35" s="707"/>
      <c r="DGH35" s="707"/>
      <c r="DGI35" s="707"/>
      <c r="DGJ35" s="707"/>
      <c r="DGK35" s="707"/>
      <c r="DGL35" s="707"/>
      <c r="DGM35" s="707"/>
      <c r="DGN35" s="707"/>
      <c r="DGO35" s="707"/>
      <c r="DGP35" s="707"/>
      <c r="DGQ35" s="707"/>
      <c r="DGR35" s="707"/>
      <c r="DGS35" s="707"/>
      <c r="DGT35" s="707"/>
      <c r="DGU35" s="707"/>
      <c r="DGV35" s="707"/>
      <c r="DGW35" s="707"/>
      <c r="DGX35" s="707"/>
      <c r="DGY35" s="707"/>
      <c r="DGZ35" s="707"/>
      <c r="DHA35" s="707"/>
      <c r="DHB35" s="707"/>
      <c r="DHC35" s="707"/>
      <c r="DHD35" s="707"/>
      <c r="DHE35" s="707"/>
      <c r="DHF35" s="707"/>
      <c r="DHG35" s="707"/>
      <c r="DHH35" s="707"/>
      <c r="DHI35" s="707"/>
      <c r="DHJ35" s="707"/>
      <c r="DHK35" s="707"/>
      <c r="DHL35" s="707"/>
      <c r="DHM35" s="707"/>
      <c r="DHN35" s="707"/>
      <c r="DHO35" s="707"/>
      <c r="DHP35" s="707"/>
      <c r="DHQ35" s="707"/>
      <c r="DHR35" s="707"/>
      <c r="DHS35" s="707"/>
      <c r="DHT35" s="707"/>
      <c r="DHU35" s="707"/>
      <c r="DHV35" s="707"/>
      <c r="DHW35" s="707"/>
      <c r="DHX35" s="707"/>
      <c r="DHY35" s="707"/>
      <c r="DHZ35" s="707"/>
      <c r="DIA35" s="707"/>
      <c r="DIB35" s="707"/>
      <c r="DIC35" s="707"/>
      <c r="DID35" s="707"/>
      <c r="DIE35" s="707"/>
      <c r="DIF35" s="707"/>
      <c r="DIG35" s="707"/>
      <c r="DIH35" s="707"/>
      <c r="DII35" s="707"/>
      <c r="DIJ35" s="707"/>
      <c r="DIK35" s="707"/>
      <c r="DIL35" s="707"/>
      <c r="DIM35" s="707"/>
      <c r="DIN35" s="707"/>
      <c r="DIO35" s="707"/>
      <c r="DIP35" s="707"/>
      <c r="DIQ35" s="707"/>
      <c r="DIR35" s="707"/>
      <c r="DIS35" s="707"/>
      <c r="DIT35" s="707"/>
      <c r="DIU35" s="707"/>
      <c r="DIV35" s="707"/>
      <c r="DIW35" s="707"/>
      <c r="DIX35" s="707"/>
      <c r="DIY35" s="707"/>
      <c r="DIZ35" s="707"/>
      <c r="DJA35" s="707"/>
      <c r="DJB35" s="707"/>
      <c r="DJC35" s="707"/>
      <c r="DJD35" s="707"/>
      <c r="DJE35" s="707"/>
      <c r="DJF35" s="707"/>
      <c r="DJG35" s="707"/>
      <c r="DJH35" s="707"/>
      <c r="DJI35" s="707"/>
      <c r="DJJ35" s="707"/>
      <c r="DJK35" s="707"/>
      <c r="DJL35" s="707"/>
      <c r="DJM35" s="707"/>
      <c r="DJN35" s="707"/>
      <c r="DJO35" s="707"/>
      <c r="DJP35" s="707"/>
      <c r="DJQ35" s="707"/>
      <c r="DJR35" s="707"/>
      <c r="DJS35" s="707"/>
      <c r="DJT35" s="707"/>
      <c r="DJU35" s="707"/>
      <c r="DJV35" s="707"/>
      <c r="DJW35" s="707"/>
      <c r="DJX35" s="707"/>
      <c r="DJY35" s="707"/>
      <c r="DJZ35" s="707"/>
      <c r="DKA35" s="707"/>
      <c r="DKB35" s="707"/>
      <c r="DKC35" s="707"/>
      <c r="DKD35" s="707"/>
      <c r="DKE35" s="707"/>
      <c r="DKF35" s="707"/>
      <c r="DKG35" s="707"/>
      <c r="DKH35" s="707"/>
      <c r="DKI35" s="707"/>
      <c r="DKJ35" s="707"/>
      <c r="DKK35" s="707"/>
      <c r="DKL35" s="707"/>
      <c r="DKM35" s="707"/>
      <c r="DKN35" s="707"/>
      <c r="DKO35" s="707"/>
      <c r="DKP35" s="707"/>
      <c r="DKQ35" s="707"/>
      <c r="DKR35" s="707"/>
      <c r="DKS35" s="707"/>
      <c r="DKT35" s="707"/>
      <c r="DKU35" s="707"/>
      <c r="DKV35" s="707"/>
      <c r="DKW35" s="707"/>
      <c r="DKX35" s="707"/>
      <c r="DKY35" s="707"/>
      <c r="DKZ35" s="707"/>
      <c r="DLA35" s="707"/>
      <c r="DLB35" s="707"/>
      <c r="DLC35" s="707"/>
      <c r="DLD35" s="707"/>
      <c r="DLE35" s="707"/>
      <c r="DLF35" s="707"/>
      <c r="DLG35" s="707"/>
      <c r="DLH35" s="707"/>
      <c r="DLI35" s="707"/>
      <c r="DLJ35" s="707"/>
      <c r="DLK35" s="707"/>
      <c r="DLL35" s="707"/>
      <c r="DLM35" s="707"/>
      <c r="DLN35" s="707"/>
      <c r="DLO35" s="707"/>
      <c r="DLP35" s="707"/>
      <c r="DLQ35" s="707"/>
      <c r="DLR35" s="707"/>
      <c r="DLS35" s="707"/>
      <c r="DLT35" s="707"/>
      <c r="DLU35" s="707"/>
      <c r="DLV35" s="707"/>
      <c r="DLW35" s="707"/>
      <c r="DLX35" s="707"/>
      <c r="DLY35" s="707"/>
      <c r="DLZ35" s="707"/>
      <c r="DMA35" s="707"/>
      <c r="DMB35" s="707"/>
      <c r="DMC35" s="707"/>
      <c r="DMD35" s="707"/>
      <c r="DME35" s="707"/>
      <c r="DMF35" s="707"/>
      <c r="DMG35" s="707"/>
      <c r="DMH35" s="707"/>
      <c r="DMI35" s="707"/>
      <c r="DMJ35" s="707"/>
      <c r="DMK35" s="707"/>
      <c r="DML35" s="707"/>
      <c r="DMM35" s="707"/>
      <c r="DMN35" s="707"/>
      <c r="DMO35" s="707"/>
      <c r="DMP35" s="707"/>
      <c r="DMQ35" s="707"/>
      <c r="DMR35" s="707"/>
      <c r="DMS35" s="707"/>
      <c r="DMT35" s="707"/>
      <c r="DMU35" s="707"/>
      <c r="DMV35" s="707"/>
      <c r="DMW35" s="707"/>
      <c r="DMX35" s="707"/>
      <c r="DMY35" s="707"/>
      <c r="DMZ35" s="707"/>
      <c r="DNA35" s="707"/>
      <c r="DNB35" s="707"/>
      <c r="DNC35" s="707"/>
      <c r="DND35" s="707"/>
      <c r="DNE35" s="707"/>
      <c r="DNF35" s="707"/>
      <c r="DNG35" s="707"/>
      <c r="DNH35" s="707"/>
      <c r="DNI35" s="707"/>
      <c r="DNJ35" s="707"/>
      <c r="DNK35" s="707"/>
      <c r="DNL35" s="707"/>
      <c r="DNM35" s="707"/>
      <c r="DNN35" s="707"/>
      <c r="DNO35" s="707"/>
      <c r="DNP35" s="707"/>
      <c r="DNQ35" s="707"/>
      <c r="DNR35" s="707"/>
      <c r="DNS35" s="707"/>
      <c r="DNT35" s="707"/>
      <c r="DNU35" s="707"/>
      <c r="DNV35" s="707"/>
      <c r="DNW35" s="707"/>
      <c r="DNX35" s="707"/>
      <c r="DNY35" s="707"/>
      <c r="DNZ35" s="707"/>
      <c r="DOA35" s="707"/>
      <c r="DOB35" s="707"/>
      <c r="DOC35" s="707"/>
      <c r="DOD35" s="707"/>
      <c r="DOE35" s="707"/>
      <c r="DOF35" s="707"/>
      <c r="DOG35" s="707"/>
      <c r="DOH35" s="707"/>
      <c r="DOI35" s="707"/>
      <c r="DOJ35" s="707"/>
      <c r="DOK35" s="707"/>
      <c r="DOL35" s="707"/>
      <c r="DOM35" s="707"/>
      <c r="DON35" s="707"/>
      <c r="DOO35" s="707"/>
      <c r="DOP35" s="707"/>
      <c r="DOQ35" s="707"/>
      <c r="DOR35" s="707"/>
      <c r="DOS35" s="707"/>
      <c r="DOT35" s="707"/>
      <c r="DOU35" s="707"/>
      <c r="DOV35" s="707"/>
      <c r="DOW35" s="707"/>
      <c r="DOX35" s="707"/>
      <c r="DOY35" s="707"/>
      <c r="DOZ35" s="707"/>
      <c r="DPA35" s="707"/>
      <c r="DPB35" s="707"/>
      <c r="DPC35" s="707"/>
      <c r="DPD35" s="707"/>
      <c r="DPE35" s="707"/>
      <c r="DPF35" s="707"/>
      <c r="DPG35" s="707"/>
      <c r="DPH35" s="707"/>
      <c r="DPI35" s="707"/>
      <c r="DPJ35" s="707"/>
      <c r="DPK35" s="707"/>
      <c r="DPL35" s="707"/>
      <c r="DPM35" s="707"/>
      <c r="DPN35" s="707"/>
      <c r="DPO35" s="707"/>
      <c r="DPP35" s="707"/>
      <c r="DPQ35" s="707"/>
      <c r="DPR35" s="707"/>
      <c r="DPS35" s="707"/>
      <c r="DPT35" s="707"/>
      <c r="DPU35" s="707"/>
      <c r="DPV35" s="707"/>
      <c r="DPW35" s="707"/>
      <c r="DPX35" s="707"/>
      <c r="DPY35" s="707"/>
      <c r="DPZ35" s="707"/>
      <c r="DQA35" s="707"/>
      <c r="DQB35" s="707"/>
      <c r="DQC35" s="707"/>
      <c r="DQD35" s="707"/>
      <c r="DQE35" s="707"/>
      <c r="DQF35" s="707"/>
      <c r="DQG35" s="707"/>
      <c r="DQH35" s="707"/>
      <c r="DQI35" s="707"/>
      <c r="DQJ35" s="707"/>
      <c r="DQK35" s="707"/>
      <c r="DQL35" s="707"/>
      <c r="DQM35" s="707"/>
      <c r="DQN35" s="707"/>
      <c r="DQO35" s="707"/>
      <c r="DQP35" s="707"/>
      <c r="DQQ35" s="707"/>
      <c r="DQR35" s="707"/>
      <c r="DQS35" s="707"/>
      <c r="DQT35" s="707"/>
      <c r="DQU35" s="707"/>
      <c r="DQV35" s="707"/>
      <c r="DQW35" s="707"/>
      <c r="DQX35" s="707"/>
      <c r="DQY35" s="707"/>
      <c r="DQZ35" s="707"/>
      <c r="DRA35" s="707"/>
      <c r="DRB35" s="707"/>
      <c r="DRC35" s="707"/>
      <c r="DRD35" s="707"/>
      <c r="DRE35" s="707"/>
      <c r="DRF35" s="707"/>
      <c r="DRG35" s="707"/>
      <c r="DRH35" s="707"/>
      <c r="DRI35" s="707"/>
      <c r="DRJ35" s="707"/>
      <c r="DRK35" s="707"/>
      <c r="DRL35" s="707"/>
      <c r="DRM35" s="707"/>
      <c r="DRN35" s="707"/>
      <c r="DRO35" s="707"/>
      <c r="DRP35" s="707"/>
      <c r="DRQ35" s="707"/>
      <c r="DRR35" s="707"/>
      <c r="DRS35" s="707"/>
      <c r="DRT35" s="707"/>
      <c r="DRU35" s="707"/>
      <c r="DRV35" s="707"/>
      <c r="DRW35" s="707"/>
      <c r="DRX35" s="707"/>
      <c r="DRY35" s="707"/>
      <c r="DRZ35" s="707"/>
      <c r="DSA35" s="707"/>
      <c r="DSB35" s="707"/>
      <c r="DSC35" s="707"/>
      <c r="DSD35" s="707"/>
      <c r="DSE35" s="707"/>
      <c r="DSF35" s="707"/>
      <c r="DSG35" s="707"/>
      <c r="DSH35" s="707"/>
      <c r="DSI35" s="707"/>
      <c r="DSJ35" s="707"/>
      <c r="DSK35" s="707"/>
      <c r="DSL35" s="707"/>
      <c r="DSM35" s="707"/>
      <c r="DSN35" s="707"/>
      <c r="DSO35" s="707"/>
      <c r="DSP35" s="707"/>
      <c r="DSQ35" s="707"/>
      <c r="DSR35" s="707"/>
      <c r="DSS35" s="707"/>
      <c r="DST35" s="707"/>
      <c r="DSU35" s="707"/>
      <c r="DSV35" s="707"/>
      <c r="DSW35" s="707"/>
      <c r="DSX35" s="707"/>
      <c r="DSY35" s="707"/>
      <c r="DSZ35" s="707"/>
      <c r="DTA35" s="707"/>
      <c r="DTB35" s="707"/>
      <c r="DTC35" s="707"/>
      <c r="DTD35" s="707"/>
      <c r="DTE35" s="707"/>
      <c r="DTF35" s="707"/>
      <c r="DTG35" s="707"/>
      <c r="DTH35" s="707"/>
      <c r="DTI35" s="707"/>
      <c r="DTJ35" s="707"/>
      <c r="DTK35" s="707"/>
      <c r="DTL35" s="707"/>
      <c r="DTM35" s="707"/>
      <c r="DTN35" s="707"/>
      <c r="DTO35" s="707"/>
      <c r="DTP35" s="707"/>
      <c r="DTQ35" s="707"/>
      <c r="DTR35" s="707"/>
      <c r="DTS35" s="707"/>
      <c r="DTT35" s="707"/>
      <c r="DTU35" s="707"/>
      <c r="DTV35" s="707"/>
      <c r="DTW35" s="707"/>
      <c r="DTX35" s="707"/>
      <c r="DTY35" s="707"/>
      <c r="DTZ35" s="707"/>
      <c r="DUA35" s="707"/>
      <c r="DUB35" s="707"/>
      <c r="DUC35" s="707"/>
      <c r="DUD35" s="707"/>
      <c r="DUE35" s="707"/>
      <c r="DUF35" s="707"/>
      <c r="DUG35" s="707"/>
      <c r="DUH35" s="707"/>
      <c r="DUI35" s="707"/>
      <c r="DUJ35" s="707"/>
      <c r="DUK35" s="707"/>
      <c r="DUL35" s="707"/>
      <c r="DUM35" s="707"/>
      <c r="DUN35" s="707"/>
      <c r="DUO35" s="707"/>
      <c r="DUP35" s="707"/>
      <c r="DUQ35" s="707"/>
      <c r="DUR35" s="707"/>
      <c r="DUS35" s="707"/>
      <c r="DUT35" s="707"/>
      <c r="DUU35" s="707"/>
      <c r="DUV35" s="707"/>
      <c r="DUW35" s="707"/>
      <c r="DUX35" s="707"/>
      <c r="DUY35" s="707"/>
      <c r="DUZ35" s="707"/>
      <c r="DVA35" s="707"/>
      <c r="DVB35" s="707"/>
      <c r="DVC35" s="707"/>
      <c r="DVD35" s="707"/>
      <c r="DVE35" s="707"/>
      <c r="DVF35" s="707"/>
      <c r="DVG35" s="707"/>
      <c r="DVH35" s="707"/>
      <c r="DVI35" s="707"/>
      <c r="DVJ35" s="707"/>
      <c r="DVK35" s="707"/>
      <c r="DVL35" s="707"/>
      <c r="DVM35" s="707"/>
      <c r="DVN35" s="707"/>
      <c r="DVO35" s="707"/>
      <c r="DVP35" s="707"/>
      <c r="DVQ35" s="707"/>
      <c r="DVR35" s="707"/>
      <c r="DVS35" s="707"/>
      <c r="DVT35" s="707"/>
      <c r="DVU35" s="707"/>
      <c r="DVV35" s="707"/>
      <c r="DVW35" s="707"/>
      <c r="DVX35" s="707"/>
      <c r="DVY35" s="707"/>
      <c r="DVZ35" s="707"/>
      <c r="DWA35" s="707"/>
      <c r="DWB35" s="707"/>
      <c r="DWC35" s="707"/>
      <c r="DWD35" s="707"/>
      <c r="DWE35" s="707"/>
      <c r="DWF35" s="707"/>
      <c r="DWG35" s="707"/>
      <c r="DWH35" s="707"/>
      <c r="DWI35" s="707"/>
      <c r="DWJ35" s="707"/>
      <c r="DWK35" s="707"/>
      <c r="DWL35" s="707"/>
      <c r="DWM35" s="707"/>
      <c r="DWN35" s="707"/>
      <c r="DWO35" s="707"/>
      <c r="DWP35" s="707"/>
      <c r="DWQ35" s="707"/>
      <c r="DWR35" s="707"/>
      <c r="DWS35" s="707"/>
      <c r="DWT35" s="707"/>
      <c r="DWU35" s="707"/>
      <c r="DWV35" s="707"/>
      <c r="DWW35" s="707"/>
      <c r="DWX35" s="707"/>
      <c r="DWY35" s="707"/>
      <c r="DWZ35" s="707"/>
      <c r="DXA35" s="707"/>
      <c r="DXB35" s="707"/>
      <c r="DXC35" s="707"/>
      <c r="DXD35" s="707"/>
      <c r="DXE35" s="707"/>
      <c r="DXF35" s="707"/>
      <c r="DXG35" s="707"/>
      <c r="DXH35" s="707"/>
      <c r="DXI35" s="707"/>
      <c r="DXJ35" s="707"/>
      <c r="DXK35" s="707"/>
      <c r="DXL35" s="707"/>
      <c r="DXM35" s="707"/>
      <c r="DXN35" s="707"/>
      <c r="DXO35" s="707"/>
      <c r="DXP35" s="707"/>
      <c r="DXQ35" s="707"/>
      <c r="DXR35" s="707"/>
      <c r="DXS35" s="707"/>
      <c r="DXT35" s="707"/>
      <c r="DXU35" s="707"/>
      <c r="DXV35" s="707"/>
      <c r="DXW35" s="707"/>
      <c r="DXX35" s="707"/>
      <c r="DXY35" s="707"/>
      <c r="DXZ35" s="707"/>
      <c r="DYA35" s="707"/>
      <c r="DYB35" s="707"/>
      <c r="DYC35" s="707"/>
      <c r="DYD35" s="707"/>
      <c r="DYE35" s="707"/>
      <c r="DYF35" s="707"/>
      <c r="DYG35" s="707"/>
      <c r="DYH35" s="707"/>
      <c r="DYI35" s="707"/>
      <c r="DYJ35" s="707"/>
      <c r="DYK35" s="707"/>
      <c r="DYL35" s="707"/>
      <c r="DYM35" s="707"/>
      <c r="DYN35" s="707"/>
      <c r="DYO35" s="707"/>
      <c r="DYP35" s="707"/>
      <c r="DYQ35" s="707"/>
      <c r="DYR35" s="707"/>
      <c r="DYS35" s="707"/>
      <c r="DYT35" s="707"/>
      <c r="DYU35" s="707"/>
      <c r="DYV35" s="707"/>
      <c r="DYW35" s="707"/>
      <c r="DYX35" s="707"/>
      <c r="DYY35" s="707"/>
      <c r="DYZ35" s="707"/>
      <c r="DZA35" s="707"/>
      <c r="DZB35" s="707"/>
      <c r="DZC35" s="707"/>
      <c r="DZD35" s="707"/>
      <c r="DZE35" s="707"/>
      <c r="DZF35" s="707"/>
      <c r="DZG35" s="707"/>
      <c r="DZH35" s="707"/>
      <c r="DZI35" s="707"/>
      <c r="DZJ35" s="707"/>
      <c r="DZK35" s="707"/>
      <c r="DZL35" s="707"/>
      <c r="DZM35" s="707"/>
      <c r="DZN35" s="707"/>
      <c r="DZO35" s="707"/>
      <c r="DZP35" s="707"/>
      <c r="DZQ35" s="707"/>
      <c r="DZR35" s="707"/>
      <c r="DZS35" s="707"/>
      <c r="DZT35" s="707"/>
      <c r="DZU35" s="707"/>
      <c r="DZV35" s="707"/>
      <c r="DZW35" s="707"/>
      <c r="DZX35" s="707"/>
      <c r="DZY35" s="707"/>
      <c r="DZZ35" s="707"/>
      <c r="EAA35" s="707"/>
      <c r="EAB35" s="707"/>
      <c r="EAC35" s="707"/>
      <c r="EAD35" s="707"/>
      <c r="EAE35" s="707"/>
      <c r="EAF35" s="707"/>
      <c r="EAG35" s="707"/>
      <c r="EAH35" s="707"/>
      <c r="EAI35" s="707"/>
      <c r="EAJ35" s="707"/>
      <c r="EAK35" s="707"/>
      <c r="EAL35" s="707"/>
      <c r="EAM35" s="707"/>
      <c r="EAN35" s="707"/>
      <c r="EAO35" s="707"/>
      <c r="EAP35" s="707"/>
      <c r="EAQ35" s="707"/>
      <c r="EAR35" s="707"/>
      <c r="EAS35" s="707"/>
      <c r="EAT35" s="707"/>
      <c r="EAU35" s="707"/>
      <c r="EAV35" s="707"/>
      <c r="EAW35" s="707"/>
      <c r="EAX35" s="707"/>
      <c r="EAY35" s="707"/>
      <c r="EAZ35" s="707"/>
      <c r="EBA35" s="707"/>
      <c r="EBB35" s="707"/>
      <c r="EBC35" s="707"/>
      <c r="EBD35" s="707"/>
      <c r="EBE35" s="707"/>
      <c r="EBF35" s="707"/>
      <c r="EBG35" s="707"/>
      <c r="EBH35" s="707"/>
      <c r="EBI35" s="707"/>
      <c r="EBJ35" s="707"/>
      <c r="EBK35" s="707"/>
      <c r="EBL35" s="707"/>
      <c r="EBM35" s="707"/>
      <c r="EBN35" s="707"/>
      <c r="EBO35" s="707"/>
      <c r="EBP35" s="707"/>
      <c r="EBQ35" s="707"/>
      <c r="EBR35" s="707"/>
      <c r="EBS35" s="707"/>
      <c r="EBT35" s="707"/>
      <c r="EBU35" s="707"/>
      <c r="EBV35" s="707"/>
      <c r="EBW35" s="707"/>
      <c r="EBX35" s="707"/>
      <c r="EBY35" s="707"/>
      <c r="EBZ35" s="707"/>
      <c r="ECA35" s="707"/>
      <c r="ECB35" s="707"/>
      <c r="ECC35" s="707"/>
      <c r="ECD35" s="707"/>
      <c r="ECE35" s="707"/>
      <c r="ECF35" s="707"/>
      <c r="ECG35" s="707"/>
      <c r="ECH35" s="707"/>
      <c r="ECI35" s="707"/>
      <c r="ECJ35" s="707"/>
      <c r="ECK35" s="707"/>
      <c r="ECL35" s="707"/>
      <c r="ECM35" s="707"/>
      <c r="ECN35" s="707"/>
      <c r="ECO35" s="707"/>
      <c r="ECP35" s="707"/>
      <c r="ECQ35" s="707"/>
      <c r="ECR35" s="707"/>
      <c r="ECS35" s="707"/>
      <c r="ECT35" s="707"/>
      <c r="ECU35" s="707"/>
      <c r="ECV35" s="707"/>
      <c r="ECW35" s="707"/>
      <c r="ECX35" s="707"/>
      <c r="ECY35" s="707"/>
      <c r="ECZ35" s="707"/>
      <c r="EDA35" s="707"/>
      <c r="EDB35" s="707"/>
      <c r="EDC35" s="707"/>
      <c r="EDD35" s="707"/>
      <c r="EDE35" s="707"/>
      <c r="EDF35" s="707"/>
      <c r="EDG35" s="707"/>
      <c r="EDH35" s="707"/>
      <c r="EDI35" s="707"/>
      <c r="EDJ35" s="707"/>
      <c r="EDK35" s="707"/>
      <c r="EDL35" s="707"/>
      <c r="EDM35" s="707"/>
      <c r="EDN35" s="707"/>
      <c r="EDO35" s="707"/>
      <c r="EDP35" s="707"/>
      <c r="EDQ35" s="707"/>
      <c r="EDR35" s="707"/>
      <c r="EDS35" s="707"/>
      <c r="EDT35" s="707"/>
      <c r="EDU35" s="707"/>
      <c r="EDV35" s="707"/>
      <c r="EDW35" s="707"/>
      <c r="EDX35" s="707"/>
      <c r="EDY35" s="707"/>
      <c r="EDZ35" s="707"/>
      <c r="EEA35" s="707"/>
      <c r="EEB35" s="707"/>
      <c r="EEC35" s="707"/>
      <c r="EED35" s="707"/>
      <c r="EEE35" s="707"/>
      <c r="EEF35" s="707"/>
      <c r="EEG35" s="707"/>
      <c r="EEH35" s="707"/>
      <c r="EEI35" s="707"/>
      <c r="EEJ35" s="707"/>
      <c r="EEK35" s="707"/>
      <c r="EEL35" s="707"/>
      <c r="EEM35" s="707"/>
      <c r="EEN35" s="707"/>
      <c r="EEO35" s="707"/>
      <c r="EEP35" s="707"/>
      <c r="EEQ35" s="707"/>
      <c r="EER35" s="707"/>
      <c r="EES35" s="707"/>
      <c r="EET35" s="707"/>
      <c r="EEU35" s="707"/>
      <c r="EEV35" s="707"/>
      <c r="EEW35" s="707"/>
      <c r="EEX35" s="707"/>
      <c r="EEY35" s="707"/>
      <c r="EEZ35" s="707"/>
      <c r="EFA35" s="707"/>
      <c r="EFB35" s="707"/>
      <c r="EFC35" s="707"/>
      <c r="EFD35" s="707"/>
      <c r="EFE35" s="707"/>
      <c r="EFF35" s="707"/>
      <c r="EFG35" s="707"/>
      <c r="EFH35" s="707"/>
      <c r="EFI35" s="707"/>
      <c r="EFJ35" s="707"/>
      <c r="EFK35" s="707"/>
      <c r="EFL35" s="707"/>
      <c r="EFM35" s="707"/>
      <c r="EFN35" s="707"/>
      <c r="EFO35" s="707"/>
      <c r="EFP35" s="707"/>
      <c r="EFQ35" s="707"/>
      <c r="EFR35" s="707"/>
      <c r="EFS35" s="707"/>
      <c r="EFT35" s="707"/>
      <c r="EFU35" s="707"/>
      <c r="EFV35" s="707"/>
      <c r="EFW35" s="707"/>
      <c r="EFX35" s="707"/>
      <c r="EFY35" s="707"/>
      <c r="EFZ35" s="707"/>
      <c r="EGA35" s="707"/>
      <c r="EGB35" s="707"/>
      <c r="EGC35" s="707"/>
      <c r="EGD35" s="707"/>
      <c r="EGE35" s="707"/>
      <c r="EGF35" s="707"/>
      <c r="EGG35" s="707"/>
      <c r="EGH35" s="707"/>
      <c r="EGI35" s="707"/>
      <c r="EGJ35" s="707"/>
      <c r="EGK35" s="707"/>
      <c r="EGL35" s="707"/>
      <c r="EGM35" s="707"/>
      <c r="EGN35" s="707"/>
      <c r="EGO35" s="707"/>
      <c r="EGP35" s="707"/>
      <c r="EGQ35" s="707"/>
      <c r="EGR35" s="707"/>
      <c r="EGS35" s="707"/>
      <c r="EGT35" s="707"/>
      <c r="EGU35" s="707"/>
      <c r="EGV35" s="707"/>
      <c r="EGW35" s="707"/>
      <c r="EGX35" s="707"/>
      <c r="EGY35" s="707"/>
      <c r="EGZ35" s="707"/>
      <c r="EHA35" s="707"/>
      <c r="EHB35" s="707"/>
      <c r="EHC35" s="707"/>
      <c r="EHD35" s="707"/>
      <c r="EHE35" s="707"/>
      <c r="EHF35" s="707"/>
      <c r="EHG35" s="707"/>
      <c r="EHH35" s="707"/>
      <c r="EHI35" s="707"/>
      <c r="EHJ35" s="707"/>
      <c r="EHK35" s="707"/>
      <c r="EHL35" s="707"/>
      <c r="EHM35" s="707"/>
      <c r="EHN35" s="707"/>
      <c r="EHO35" s="707"/>
      <c r="EHP35" s="707"/>
      <c r="EHQ35" s="707"/>
      <c r="EHR35" s="707"/>
      <c r="EHS35" s="707"/>
      <c r="EHT35" s="707"/>
      <c r="EHU35" s="707"/>
      <c r="EHV35" s="707"/>
      <c r="EHW35" s="707"/>
      <c r="EHX35" s="707"/>
      <c r="EHY35" s="707"/>
      <c r="EHZ35" s="707"/>
      <c r="EIA35" s="707"/>
      <c r="EIB35" s="707"/>
      <c r="EIC35" s="707"/>
      <c r="EID35" s="707"/>
      <c r="EIE35" s="707"/>
      <c r="EIF35" s="707"/>
      <c r="EIG35" s="707"/>
      <c r="EIH35" s="707"/>
      <c r="EII35" s="707"/>
      <c r="EIJ35" s="707"/>
      <c r="EIK35" s="707"/>
      <c r="EIL35" s="707"/>
      <c r="EIM35" s="707"/>
      <c r="EIN35" s="707"/>
      <c r="EIO35" s="707"/>
      <c r="EIP35" s="707"/>
      <c r="EIQ35" s="707"/>
      <c r="EIR35" s="707"/>
      <c r="EIS35" s="707"/>
      <c r="EIT35" s="707"/>
      <c r="EIU35" s="707"/>
      <c r="EIV35" s="707"/>
      <c r="EIW35" s="707"/>
      <c r="EIX35" s="707"/>
      <c r="EIY35" s="707"/>
      <c r="EIZ35" s="707"/>
      <c r="EJA35" s="707"/>
      <c r="EJB35" s="707"/>
      <c r="EJC35" s="707"/>
      <c r="EJD35" s="707"/>
      <c r="EJE35" s="707"/>
      <c r="EJF35" s="707"/>
      <c r="EJG35" s="707"/>
      <c r="EJH35" s="707"/>
      <c r="EJI35" s="707"/>
      <c r="EJJ35" s="707"/>
      <c r="EJK35" s="707"/>
      <c r="EJL35" s="707"/>
      <c r="EJM35" s="707"/>
      <c r="EJN35" s="707"/>
      <c r="EJO35" s="707"/>
      <c r="EJP35" s="707"/>
      <c r="EJQ35" s="707"/>
      <c r="EJR35" s="707"/>
      <c r="EJS35" s="707"/>
      <c r="EJT35" s="707"/>
      <c r="EJU35" s="707"/>
      <c r="EJV35" s="707"/>
      <c r="EJW35" s="707"/>
      <c r="EJX35" s="707"/>
      <c r="EJY35" s="707"/>
      <c r="EJZ35" s="707"/>
      <c r="EKA35" s="707"/>
      <c r="EKB35" s="707"/>
      <c r="EKC35" s="707"/>
      <c r="EKD35" s="707"/>
      <c r="EKE35" s="707"/>
      <c r="EKF35" s="707"/>
      <c r="EKG35" s="707"/>
      <c r="EKH35" s="707"/>
      <c r="EKI35" s="707"/>
      <c r="EKJ35" s="707"/>
      <c r="EKK35" s="707"/>
      <c r="EKL35" s="707"/>
      <c r="EKM35" s="707"/>
      <c r="EKN35" s="707"/>
      <c r="EKO35" s="707"/>
      <c r="EKP35" s="707"/>
      <c r="EKQ35" s="707"/>
      <c r="EKR35" s="707"/>
      <c r="EKS35" s="707"/>
      <c r="EKT35" s="707"/>
      <c r="EKU35" s="707"/>
      <c r="EKV35" s="707"/>
      <c r="EKW35" s="707"/>
      <c r="EKX35" s="707"/>
      <c r="EKY35" s="707"/>
      <c r="EKZ35" s="707"/>
      <c r="ELA35" s="707"/>
      <c r="ELB35" s="707"/>
      <c r="ELC35" s="707"/>
      <c r="ELD35" s="707"/>
      <c r="ELE35" s="707"/>
      <c r="ELF35" s="707"/>
      <c r="ELG35" s="707"/>
      <c r="ELH35" s="707"/>
      <c r="ELI35" s="707"/>
      <c r="ELJ35" s="707"/>
      <c r="ELK35" s="707"/>
      <c r="ELL35" s="707"/>
      <c r="ELM35" s="707"/>
      <c r="ELN35" s="707"/>
      <c r="ELO35" s="707"/>
      <c r="ELP35" s="707"/>
      <c r="ELQ35" s="707"/>
      <c r="ELR35" s="707"/>
      <c r="ELS35" s="707"/>
      <c r="ELT35" s="707"/>
      <c r="ELU35" s="707"/>
      <c r="ELV35" s="707"/>
      <c r="ELW35" s="707"/>
      <c r="ELX35" s="707"/>
      <c r="ELY35" s="707"/>
      <c r="ELZ35" s="707"/>
      <c r="EMA35" s="707"/>
      <c r="EMB35" s="707"/>
      <c r="EMC35" s="707"/>
      <c r="EMD35" s="707"/>
      <c r="EME35" s="707"/>
      <c r="EMF35" s="707"/>
      <c r="EMG35" s="707"/>
      <c r="EMH35" s="707"/>
      <c r="EMI35" s="707"/>
      <c r="EMJ35" s="707"/>
      <c r="EMK35" s="707"/>
      <c r="EML35" s="707"/>
      <c r="EMM35" s="707"/>
      <c r="EMN35" s="707"/>
      <c r="EMO35" s="707"/>
      <c r="EMP35" s="707"/>
      <c r="EMQ35" s="707"/>
      <c r="EMR35" s="707"/>
      <c r="EMS35" s="707"/>
      <c r="EMT35" s="707"/>
      <c r="EMU35" s="707"/>
      <c r="EMV35" s="707"/>
      <c r="EMW35" s="707"/>
      <c r="EMX35" s="707"/>
      <c r="EMY35" s="707"/>
      <c r="EMZ35" s="707"/>
      <c r="ENA35" s="707"/>
      <c r="ENB35" s="707"/>
      <c r="ENC35" s="707"/>
      <c r="END35" s="707"/>
      <c r="ENE35" s="707"/>
      <c r="ENF35" s="707"/>
      <c r="ENG35" s="707"/>
      <c r="ENH35" s="707"/>
      <c r="ENI35" s="707"/>
      <c r="ENJ35" s="707"/>
      <c r="ENK35" s="707"/>
      <c r="ENL35" s="707"/>
      <c r="ENM35" s="707"/>
      <c r="ENN35" s="707"/>
      <c r="ENO35" s="707"/>
      <c r="ENP35" s="707"/>
      <c r="ENQ35" s="707"/>
      <c r="ENR35" s="707"/>
      <c r="ENS35" s="707"/>
      <c r="ENT35" s="707"/>
      <c r="ENU35" s="707"/>
      <c r="ENV35" s="707"/>
      <c r="ENW35" s="707"/>
      <c r="ENX35" s="707"/>
      <c r="ENY35" s="707"/>
      <c r="ENZ35" s="707"/>
      <c r="EOA35" s="707"/>
      <c r="EOB35" s="707"/>
      <c r="EOC35" s="707"/>
      <c r="EOD35" s="707"/>
      <c r="EOE35" s="707"/>
      <c r="EOF35" s="707"/>
      <c r="EOG35" s="707"/>
      <c r="EOH35" s="707"/>
      <c r="EOI35" s="707"/>
      <c r="EOJ35" s="707"/>
      <c r="EOK35" s="707"/>
      <c r="EOL35" s="707"/>
      <c r="EOM35" s="707"/>
      <c r="EON35" s="707"/>
      <c r="EOO35" s="707"/>
      <c r="EOP35" s="707"/>
      <c r="EOQ35" s="707"/>
      <c r="EOR35" s="707"/>
      <c r="EOS35" s="707"/>
      <c r="EOT35" s="707"/>
      <c r="EOU35" s="707"/>
      <c r="EOV35" s="707"/>
      <c r="EOW35" s="707"/>
      <c r="EOX35" s="707"/>
      <c r="EOY35" s="707"/>
      <c r="EOZ35" s="707"/>
      <c r="EPA35" s="707"/>
      <c r="EPB35" s="707"/>
      <c r="EPC35" s="707"/>
      <c r="EPD35" s="707"/>
      <c r="EPE35" s="707"/>
      <c r="EPF35" s="707"/>
      <c r="EPG35" s="707"/>
      <c r="EPH35" s="707"/>
      <c r="EPI35" s="707"/>
      <c r="EPJ35" s="707"/>
      <c r="EPK35" s="707"/>
      <c r="EPL35" s="707"/>
      <c r="EPM35" s="707"/>
      <c r="EPN35" s="707"/>
      <c r="EPO35" s="707"/>
      <c r="EPP35" s="707"/>
      <c r="EPQ35" s="707"/>
      <c r="EPR35" s="707"/>
      <c r="EPS35" s="707"/>
      <c r="EPT35" s="707"/>
      <c r="EPU35" s="707"/>
      <c r="EPV35" s="707"/>
      <c r="EPW35" s="707"/>
      <c r="EPX35" s="707"/>
      <c r="EPY35" s="707"/>
      <c r="EPZ35" s="707"/>
      <c r="EQA35" s="707"/>
      <c r="EQB35" s="707"/>
      <c r="EQC35" s="707"/>
      <c r="EQD35" s="707"/>
      <c r="EQE35" s="707"/>
      <c r="EQF35" s="707"/>
      <c r="EQG35" s="707"/>
      <c r="EQH35" s="707"/>
      <c r="EQI35" s="707"/>
      <c r="EQJ35" s="707"/>
      <c r="EQK35" s="707"/>
      <c r="EQL35" s="707"/>
      <c r="EQM35" s="707"/>
      <c r="EQN35" s="707"/>
      <c r="EQO35" s="707"/>
      <c r="EQP35" s="707"/>
      <c r="EQQ35" s="707"/>
      <c r="EQR35" s="707"/>
      <c r="EQS35" s="707"/>
      <c r="EQT35" s="707"/>
      <c r="EQU35" s="707"/>
      <c r="EQV35" s="707"/>
      <c r="EQW35" s="707"/>
      <c r="EQX35" s="707"/>
      <c r="EQY35" s="707"/>
      <c r="EQZ35" s="707"/>
      <c r="ERA35" s="707"/>
      <c r="ERB35" s="707"/>
      <c r="ERC35" s="707"/>
      <c r="ERD35" s="707"/>
      <c r="ERE35" s="707"/>
      <c r="ERF35" s="707"/>
      <c r="ERG35" s="707"/>
      <c r="ERH35" s="707"/>
      <c r="ERI35" s="707"/>
      <c r="ERJ35" s="707"/>
      <c r="ERK35" s="707"/>
      <c r="ERL35" s="707"/>
      <c r="ERM35" s="707"/>
      <c r="ERN35" s="707"/>
      <c r="ERO35" s="707"/>
      <c r="ERP35" s="707"/>
      <c r="ERQ35" s="707"/>
      <c r="ERR35" s="707"/>
      <c r="ERS35" s="707"/>
      <c r="ERT35" s="707"/>
      <c r="ERU35" s="707"/>
      <c r="ERV35" s="707"/>
      <c r="ERW35" s="707"/>
      <c r="ERX35" s="707"/>
      <c r="ERY35" s="707"/>
      <c r="ERZ35" s="707"/>
      <c r="ESA35" s="707"/>
      <c r="ESB35" s="707"/>
      <c r="ESC35" s="707"/>
      <c r="ESD35" s="707"/>
      <c r="ESE35" s="707"/>
      <c r="ESF35" s="707"/>
      <c r="ESG35" s="707"/>
      <c r="ESH35" s="707"/>
      <c r="ESI35" s="707"/>
      <c r="ESJ35" s="707"/>
      <c r="ESK35" s="707"/>
      <c r="ESL35" s="707"/>
      <c r="ESM35" s="707"/>
      <c r="ESN35" s="707"/>
      <c r="ESO35" s="707"/>
      <c r="ESP35" s="707"/>
      <c r="ESQ35" s="707"/>
      <c r="ESR35" s="707"/>
      <c r="ESS35" s="707"/>
      <c r="EST35" s="707"/>
      <c r="ESU35" s="707"/>
      <c r="ESV35" s="707"/>
      <c r="ESW35" s="707"/>
      <c r="ESX35" s="707"/>
      <c r="ESY35" s="707"/>
      <c r="ESZ35" s="707"/>
      <c r="ETA35" s="707"/>
      <c r="ETB35" s="707"/>
      <c r="ETC35" s="707"/>
      <c r="ETD35" s="707"/>
      <c r="ETE35" s="707"/>
      <c r="ETF35" s="707"/>
      <c r="ETG35" s="707"/>
      <c r="ETH35" s="707"/>
      <c r="ETI35" s="707"/>
      <c r="ETJ35" s="707"/>
      <c r="ETK35" s="707"/>
      <c r="ETL35" s="707"/>
      <c r="ETM35" s="707"/>
      <c r="ETN35" s="707"/>
      <c r="ETO35" s="707"/>
      <c r="ETP35" s="707"/>
      <c r="ETQ35" s="707"/>
      <c r="ETR35" s="707"/>
      <c r="ETS35" s="707"/>
      <c r="ETT35" s="707"/>
      <c r="ETU35" s="707"/>
      <c r="ETV35" s="707"/>
      <c r="ETW35" s="707"/>
      <c r="ETX35" s="707"/>
      <c r="ETY35" s="707"/>
      <c r="ETZ35" s="707"/>
      <c r="EUA35" s="707"/>
      <c r="EUB35" s="707"/>
      <c r="EUC35" s="707"/>
      <c r="EUD35" s="707"/>
      <c r="EUE35" s="707"/>
      <c r="EUF35" s="707"/>
      <c r="EUG35" s="707"/>
      <c r="EUH35" s="707"/>
      <c r="EUI35" s="707"/>
      <c r="EUJ35" s="707"/>
      <c r="EUK35" s="707"/>
      <c r="EUL35" s="707"/>
      <c r="EUM35" s="707"/>
      <c r="EUN35" s="707"/>
      <c r="EUO35" s="707"/>
      <c r="EUP35" s="707"/>
      <c r="EUQ35" s="707"/>
      <c r="EUR35" s="707"/>
      <c r="EUS35" s="707"/>
      <c r="EUT35" s="707"/>
      <c r="EUU35" s="707"/>
      <c r="EUV35" s="707"/>
      <c r="EUW35" s="707"/>
      <c r="EUX35" s="707"/>
      <c r="EUY35" s="707"/>
      <c r="EUZ35" s="707"/>
      <c r="EVA35" s="707"/>
      <c r="EVB35" s="707"/>
      <c r="EVC35" s="707"/>
      <c r="EVD35" s="707"/>
      <c r="EVE35" s="707"/>
      <c r="EVF35" s="707"/>
      <c r="EVG35" s="707"/>
      <c r="EVH35" s="707"/>
      <c r="EVI35" s="707"/>
      <c r="EVJ35" s="707"/>
      <c r="EVK35" s="707"/>
      <c r="EVL35" s="707"/>
      <c r="EVM35" s="707"/>
      <c r="EVN35" s="707"/>
      <c r="EVO35" s="707"/>
      <c r="EVP35" s="707"/>
      <c r="EVQ35" s="707"/>
      <c r="EVR35" s="707"/>
      <c r="EVS35" s="707"/>
      <c r="EVT35" s="707"/>
      <c r="EVU35" s="707"/>
      <c r="EVV35" s="707"/>
      <c r="EVW35" s="707"/>
      <c r="EVX35" s="707"/>
      <c r="EVY35" s="707"/>
      <c r="EVZ35" s="707"/>
      <c r="EWA35" s="707"/>
      <c r="EWB35" s="707"/>
      <c r="EWC35" s="707"/>
      <c r="EWD35" s="707"/>
      <c r="EWE35" s="707"/>
      <c r="EWF35" s="707"/>
      <c r="EWG35" s="707"/>
      <c r="EWH35" s="707"/>
      <c r="EWI35" s="707"/>
      <c r="EWJ35" s="707"/>
      <c r="EWK35" s="707"/>
      <c r="EWL35" s="707"/>
      <c r="EWM35" s="707"/>
      <c r="EWN35" s="707"/>
      <c r="EWO35" s="707"/>
      <c r="EWP35" s="707"/>
      <c r="EWQ35" s="707"/>
      <c r="EWR35" s="707"/>
      <c r="EWS35" s="707"/>
      <c r="EWT35" s="707"/>
      <c r="EWU35" s="707"/>
      <c r="EWV35" s="707"/>
      <c r="EWW35" s="707"/>
      <c r="EWX35" s="707"/>
      <c r="EWY35" s="707"/>
      <c r="EWZ35" s="707"/>
      <c r="EXA35" s="707"/>
      <c r="EXB35" s="707"/>
      <c r="EXC35" s="707"/>
      <c r="EXD35" s="707"/>
      <c r="EXE35" s="707"/>
      <c r="EXF35" s="707"/>
      <c r="EXG35" s="707"/>
      <c r="EXH35" s="707"/>
      <c r="EXI35" s="707"/>
      <c r="EXJ35" s="707"/>
      <c r="EXK35" s="707"/>
      <c r="EXL35" s="707"/>
      <c r="EXM35" s="707"/>
      <c r="EXN35" s="707"/>
      <c r="EXO35" s="707"/>
      <c r="EXP35" s="707"/>
      <c r="EXQ35" s="707"/>
      <c r="EXR35" s="707"/>
      <c r="EXS35" s="707"/>
      <c r="EXT35" s="707"/>
      <c r="EXU35" s="707"/>
      <c r="EXV35" s="707"/>
      <c r="EXW35" s="707"/>
      <c r="EXX35" s="707"/>
      <c r="EXY35" s="707"/>
      <c r="EXZ35" s="707"/>
      <c r="EYA35" s="707"/>
      <c r="EYB35" s="707"/>
      <c r="EYC35" s="707"/>
      <c r="EYD35" s="707"/>
      <c r="EYE35" s="707"/>
      <c r="EYF35" s="707"/>
      <c r="EYG35" s="707"/>
      <c r="EYH35" s="707"/>
      <c r="EYI35" s="707"/>
      <c r="EYJ35" s="707"/>
      <c r="EYK35" s="707"/>
      <c r="EYL35" s="707"/>
      <c r="EYM35" s="707"/>
      <c r="EYN35" s="707"/>
      <c r="EYO35" s="707"/>
      <c r="EYP35" s="707"/>
      <c r="EYQ35" s="707"/>
      <c r="EYR35" s="707"/>
      <c r="EYS35" s="707"/>
      <c r="EYT35" s="707"/>
      <c r="EYU35" s="707"/>
      <c r="EYV35" s="707"/>
      <c r="EYW35" s="707"/>
      <c r="EYX35" s="707"/>
      <c r="EYY35" s="707"/>
      <c r="EYZ35" s="707"/>
      <c r="EZA35" s="707"/>
      <c r="EZB35" s="707"/>
      <c r="EZC35" s="707"/>
      <c r="EZD35" s="707"/>
      <c r="EZE35" s="707"/>
      <c r="EZF35" s="707"/>
      <c r="EZG35" s="707"/>
      <c r="EZH35" s="707"/>
      <c r="EZI35" s="707"/>
      <c r="EZJ35" s="707"/>
      <c r="EZK35" s="707"/>
      <c r="EZL35" s="707"/>
      <c r="EZM35" s="707"/>
      <c r="EZN35" s="707"/>
      <c r="EZO35" s="707"/>
      <c r="EZP35" s="707"/>
      <c r="EZQ35" s="707"/>
      <c r="EZR35" s="707"/>
      <c r="EZS35" s="707"/>
      <c r="EZT35" s="707"/>
      <c r="EZU35" s="707"/>
      <c r="EZV35" s="707"/>
      <c r="EZW35" s="707"/>
      <c r="EZX35" s="707"/>
      <c r="EZY35" s="707"/>
      <c r="EZZ35" s="707"/>
      <c r="FAA35" s="707"/>
      <c r="FAB35" s="707"/>
      <c r="FAC35" s="707"/>
      <c r="FAD35" s="707"/>
      <c r="FAE35" s="707"/>
      <c r="FAF35" s="707"/>
      <c r="FAG35" s="707"/>
      <c r="FAH35" s="707"/>
      <c r="FAI35" s="707"/>
      <c r="FAJ35" s="707"/>
      <c r="FAK35" s="707"/>
      <c r="FAL35" s="707"/>
      <c r="FAM35" s="707"/>
      <c r="FAN35" s="707"/>
      <c r="FAO35" s="707"/>
      <c r="FAP35" s="707"/>
      <c r="FAQ35" s="707"/>
      <c r="FAR35" s="707"/>
      <c r="FAS35" s="707"/>
      <c r="FAT35" s="707"/>
      <c r="FAU35" s="707"/>
      <c r="FAV35" s="707"/>
      <c r="FAW35" s="707"/>
      <c r="FAX35" s="707"/>
      <c r="FAY35" s="707"/>
      <c r="FAZ35" s="707"/>
      <c r="FBA35" s="707"/>
      <c r="FBB35" s="707"/>
      <c r="FBC35" s="707"/>
      <c r="FBD35" s="707"/>
      <c r="FBE35" s="707"/>
      <c r="FBF35" s="707"/>
      <c r="FBG35" s="707"/>
      <c r="FBH35" s="707"/>
      <c r="FBI35" s="707"/>
      <c r="FBJ35" s="707"/>
      <c r="FBK35" s="707"/>
      <c r="FBL35" s="707"/>
      <c r="FBM35" s="707"/>
      <c r="FBN35" s="707"/>
      <c r="FBO35" s="707"/>
      <c r="FBP35" s="707"/>
      <c r="FBQ35" s="707"/>
      <c r="FBR35" s="707"/>
      <c r="FBS35" s="707"/>
      <c r="FBT35" s="707"/>
      <c r="FBU35" s="707"/>
      <c r="FBV35" s="707"/>
      <c r="FBW35" s="707"/>
      <c r="FBX35" s="707"/>
      <c r="FBY35" s="707"/>
      <c r="FBZ35" s="707"/>
      <c r="FCA35" s="707"/>
      <c r="FCB35" s="707"/>
      <c r="FCC35" s="707"/>
      <c r="FCD35" s="707"/>
      <c r="FCE35" s="707"/>
      <c r="FCF35" s="707"/>
      <c r="FCG35" s="707"/>
      <c r="FCH35" s="707"/>
      <c r="FCI35" s="707"/>
      <c r="FCJ35" s="707"/>
      <c r="FCK35" s="707"/>
      <c r="FCL35" s="707"/>
      <c r="FCM35" s="707"/>
      <c r="FCN35" s="707"/>
      <c r="FCO35" s="707"/>
      <c r="FCP35" s="707"/>
      <c r="FCQ35" s="707"/>
      <c r="FCR35" s="707"/>
      <c r="FCS35" s="707"/>
      <c r="FCT35" s="707"/>
      <c r="FCU35" s="707"/>
      <c r="FCV35" s="707"/>
      <c r="FCW35" s="707"/>
      <c r="FCX35" s="707"/>
      <c r="FCY35" s="707"/>
      <c r="FCZ35" s="707"/>
      <c r="FDA35" s="707"/>
      <c r="FDB35" s="707"/>
      <c r="FDC35" s="707"/>
      <c r="FDD35" s="707"/>
      <c r="FDE35" s="707"/>
      <c r="FDF35" s="707"/>
      <c r="FDG35" s="707"/>
      <c r="FDH35" s="707"/>
      <c r="FDI35" s="707"/>
      <c r="FDJ35" s="707"/>
      <c r="FDK35" s="707"/>
      <c r="FDL35" s="707"/>
      <c r="FDM35" s="707"/>
      <c r="FDN35" s="707"/>
      <c r="FDO35" s="707"/>
      <c r="FDP35" s="707"/>
      <c r="FDQ35" s="707"/>
      <c r="FDR35" s="707"/>
      <c r="FDS35" s="707"/>
      <c r="FDT35" s="707"/>
      <c r="FDU35" s="707"/>
      <c r="FDV35" s="707"/>
      <c r="FDW35" s="707"/>
      <c r="FDX35" s="707"/>
      <c r="FDY35" s="707"/>
      <c r="FDZ35" s="707"/>
      <c r="FEA35" s="707"/>
      <c r="FEB35" s="707"/>
      <c r="FEC35" s="707"/>
      <c r="FED35" s="707"/>
      <c r="FEE35" s="707"/>
      <c r="FEF35" s="707"/>
      <c r="FEG35" s="707"/>
      <c r="FEH35" s="707"/>
      <c r="FEI35" s="707"/>
      <c r="FEJ35" s="707"/>
      <c r="FEK35" s="707"/>
      <c r="FEL35" s="707"/>
      <c r="FEM35" s="707"/>
      <c r="FEN35" s="707"/>
      <c r="FEO35" s="707"/>
      <c r="FEP35" s="707"/>
      <c r="FEQ35" s="707"/>
      <c r="FER35" s="707"/>
      <c r="FES35" s="707"/>
      <c r="FET35" s="707"/>
      <c r="FEU35" s="707"/>
      <c r="FEV35" s="707"/>
      <c r="FEW35" s="707"/>
      <c r="FEX35" s="707"/>
      <c r="FEY35" s="707"/>
      <c r="FEZ35" s="707"/>
      <c r="FFA35" s="707"/>
      <c r="FFB35" s="707"/>
      <c r="FFC35" s="707"/>
      <c r="FFD35" s="707"/>
      <c r="FFE35" s="707"/>
      <c r="FFF35" s="707"/>
      <c r="FFG35" s="707"/>
      <c r="FFH35" s="707"/>
      <c r="FFI35" s="707"/>
      <c r="FFJ35" s="707"/>
      <c r="FFK35" s="707"/>
      <c r="FFL35" s="707"/>
      <c r="FFM35" s="707"/>
      <c r="FFN35" s="707"/>
      <c r="FFO35" s="707"/>
      <c r="FFP35" s="707"/>
      <c r="FFQ35" s="707"/>
      <c r="FFR35" s="707"/>
      <c r="FFS35" s="707"/>
      <c r="FFT35" s="707"/>
      <c r="FFU35" s="707"/>
      <c r="FFV35" s="707"/>
      <c r="FFW35" s="707"/>
      <c r="FFX35" s="707"/>
      <c r="FFY35" s="707"/>
      <c r="FFZ35" s="707"/>
      <c r="FGA35" s="707"/>
      <c r="FGB35" s="707"/>
      <c r="FGC35" s="707"/>
      <c r="FGD35" s="707"/>
      <c r="FGE35" s="707"/>
      <c r="FGF35" s="707"/>
      <c r="FGG35" s="707"/>
      <c r="FGH35" s="707"/>
      <c r="FGI35" s="707"/>
      <c r="FGJ35" s="707"/>
      <c r="FGK35" s="707"/>
      <c r="FGL35" s="707"/>
      <c r="FGM35" s="707"/>
      <c r="FGN35" s="707"/>
      <c r="FGO35" s="707"/>
      <c r="FGP35" s="707"/>
      <c r="FGQ35" s="707"/>
      <c r="FGR35" s="707"/>
      <c r="FGS35" s="707"/>
      <c r="FGT35" s="707"/>
      <c r="FGU35" s="707"/>
      <c r="FGV35" s="707"/>
      <c r="FGW35" s="707"/>
      <c r="FGX35" s="707"/>
      <c r="FGY35" s="707"/>
      <c r="FGZ35" s="707"/>
      <c r="FHA35" s="707"/>
      <c r="FHB35" s="707"/>
      <c r="FHC35" s="707"/>
      <c r="FHD35" s="707"/>
      <c r="FHE35" s="707"/>
      <c r="FHF35" s="707"/>
      <c r="FHG35" s="707"/>
      <c r="FHH35" s="707"/>
      <c r="FHI35" s="707"/>
      <c r="FHJ35" s="707"/>
      <c r="FHK35" s="707"/>
      <c r="FHL35" s="707"/>
      <c r="FHM35" s="707"/>
      <c r="FHN35" s="707"/>
      <c r="FHO35" s="707"/>
      <c r="FHP35" s="707"/>
      <c r="FHQ35" s="707"/>
      <c r="FHR35" s="707"/>
      <c r="FHS35" s="707"/>
      <c r="FHT35" s="707"/>
      <c r="FHU35" s="707"/>
      <c r="FHV35" s="707"/>
      <c r="FHW35" s="707"/>
      <c r="FHX35" s="707"/>
      <c r="FHY35" s="707"/>
      <c r="FHZ35" s="707"/>
      <c r="FIA35" s="707"/>
      <c r="FIB35" s="707"/>
      <c r="FIC35" s="707"/>
      <c r="FID35" s="707"/>
      <c r="FIE35" s="707"/>
      <c r="FIF35" s="707"/>
      <c r="FIG35" s="707"/>
      <c r="FIH35" s="707"/>
      <c r="FII35" s="707"/>
      <c r="FIJ35" s="707"/>
      <c r="FIK35" s="707"/>
      <c r="FIL35" s="707"/>
      <c r="FIM35" s="707"/>
      <c r="FIN35" s="707"/>
      <c r="FIO35" s="707"/>
      <c r="FIP35" s="707"/>
      <c r="FIQ35" s="707"/>
      <c r="FIR35" s="707"/>
      <c r="FIS35" s="707"/>
      <c r="FIT35" s="707"/>
      <c r="FIU35" s="707"/>
      <c r="FIV35" s="707"/>
      <c r="FIW35" s="707"/>
      <c r="FIX35" s="707"/>
      <c r="FIY35" s="707"/>
      <c r="FIZ35" s="707"/>
      <c r="FJA35" s="707"/>
      <c r="FJB35" s="707"/>
      <c r="FJC35" s="707"/>
      <c r="FJD35" s="707"/>
      <c r="FJE35" s="707"/>
      <c r="FJF35" s="707"/>
      <c r="FJG35" s="707"/>
      <c r="FJH35" s="707"/>
      <c r="FJI35" s="707"/>
      <c r="FJJ35" s="707"/>
      <c r="FJK35" s="707"/>
      <c r="FJL35" s="707"/>
      <c r="FJM35" s="707"/>
      <c r="FJN35" s="707"/>
      <c r="FJO35" s="707"/>
      <c r="FJP35" s="707"/>
      <c r="FJQ35" s="707"/>
      <c r="FJR35" s="707"/>
      <c r="FJS35" s="707"/>
      <c r="FJT35" s="707"/>
      <c r="FJU35" s="707"/>
      <c r="FJV35" s="707"/>
      <c r="FJW35" s="707"/>
      <c r="FJX35" s="707"/>
      <c r="FJY35" s="707"/>
      <c r="FJZ35" s="707"/>
      <c r="FKA35" s="707"/>
      <c r="FKB35" s="707"/>
      <c r="FKC35" s="707"/>
      <c r="FKD35" s="707"/>
      <c r="FKE35" s="707"/>
      <c r="FKF35" s="707"/>
      <c r="FKG35" s="707"/>
      <c r="FKH35" s="707"/>
      <c r="FKI35" s="707"/>
      <c r="FKJ35" s="707"/>
      <c r="FKK35" s="707"/>
      <c r="FKL35" s="707"/>
      <c r="FKM35" s="707"/>
      <c r="FKN35" s="707"/>
      <c r="FKO35" s="707"/>
      <c r="FKP35" s="707"/>
      <c r="FKQ35" s="707"/>
      <c r="FKR35" s="707"/>
      <c r="FKS35" s="707"/>
      <c r="FKT35" s="707"/>
      <c r="FKU35" s="707"/>
      <c r="FKV35" s="707"/>
      <c r="FKW35" s="707"/>
      <c r="FKX35" s="707"/>
      <c r="FKY35" s="707"/>
      <c r="FKZ35" s="707"/>
      <c r="FLA35" s="707"/>
      <c r="FLB35" s="707"/>
      <c r="FLC35" s="707"/>
      <c r="FLD35" s="707"/>
      <c r="FLE35" s="707"/>
      <c r="FLF35" s="707"/>
      <c r="FLG35" s="707"/>
      <c r="FLH35" s="707"/>
      <c r="FLI35" s="707"/>
      <c r="FLJ35" s="707"/>
      <c r="FLK35" s="707"/>
      <c r="FLL35" s="707"/>
      <c r="FLM35" s="707"/>
      <c r="FLN35" s="707"/>
      <c r="FLO35" s="707"/>
      <c r="FLP35" s="707"/>
      <c r="FLQ35" s="707"/>
      <c r="FLR35" s="707"/>
      <c r="FLS35" s="707"/>
      <c r="FLT35" s="707"/>
      <c r="FLU35" s="707"/>
      <c r="FLV35" s="707"/>
      <c r="FLW35" s="707"/>
      <c r="FLX35" s="707"/>
      <c r="FLY35" s="707"/>
      <c r="FLZ35" s="707"/>
      <c r="FMA35" s="707"/>
      <c r="FMB35" s="707"/>
      <c r="FMC35" s="707"/>
      <c r="FMD35" s="707"/>
      <c r="FME35" s="707"/>
      <c r="FMF35" s="707"/>
      <c r="FMG35" s="707"/>
      <c r="FMH35" s="707"/>
      <c r="FMI35" s="707"/>
      <c r="FMJ35" s="707"/>
      <c r="FMK35" s="707"/>
      <c r="FML35" s="707"/>
      <c r="FMM35" s="707"/>
      <c r="FMN35" s="707"/>
      <c r="FMO35" s="707"/>
      <c r="FMP35" s="707"/>
      <c r="FMQ35" s="707"/>
      <c r="FMR35" s="707"/>
      <c r="FMS35" s="707"/>
      <c r="FMT35" s="707"/>
      <c r="FMU35" s="707"/>
      <c r="FMV35" s="707"/>
      <c r="FMW35" s="707"/>
      <c r="FMX35" s="707"/>
      <c r="FMY35" s="707"/>
      <c r="FMZ35" s="707"/>
      <c r="FNA35" s="707"/>
      <c r="FNB35" s="707"/>
      <c r="FNC35" s="707"/>
      <c r="FND35" s="707"/>
      <c r="FNE35" s="707"/>
      <c r="FNF35" s="707"/>
      <c r="FNG35" s="707"/>
      <c r="FNH35" s="707"/>
      <c r="FNI35" s="707"/>
      <c r="FNJ35" s="707"/>
      <c r="FNK35" s="707"/>
      <c r="FNL35" s="707"/>
      <c r="FNM35" s="707"/>
      <c r="FNN35" s="707"/>
      <c r="FNO35" s="707"/>
      <c r="FNP35" s="707"/>
      <c r="FNQ35" s="707"/>
      <c r="FNR35" s="707"/>
      <c r="FNS35" s="707"/>
      <c r="FNT35" s="707"/>
      <c r="FNU35" s="707"/>
      <c r="FNV35" s="707"/>
      <c r="FNW35" s="707"/>
      <c r="FNX35" s="707"/>
      <c r="FNY35" s="707"/>
      <c r="FNZ35" s="707"/>
      <c r="FOA35" s="707"/>
      <c r="FOB35" s="707"/>
      <c r="FOC35" s="707"/>
      <c r="FOD35" s="707"/>
      <c r="FOE35" s="707"/>
      <c r="FOF35" s="707"/>
      <c r="FOG35" s="707"/>
      <c r="FOH35" s="707"/>
      <c r="FOI35" s="707"/>
      <c r="FOJ35" s="707"/>
      <c r="FOK35" s="707"/>
      <c r="FOL35" s="707"/>
      <c r="FOM35" s="707"/>
      <c r="FON35" s="707"/>
      <c r="FOO35" s="707"/>
      <c r="FOP35" s="707"/>
      <c r="FOQ35" s="707"/>
      <c r="FOR35" s="707"/>
      <c r="FOS35" s="707"/>
      <c r="FOT35" s="707"/>
      <c r="FOU35" s="707"/>
      <c r="FOV35" s="707"/>
      <c r="FOW35" s="707"/>
      <c r="FOX35" s="707"/>
      <c r="FOY35" s="707"/>
      <c r="FOZ35" s="707"/>
      <c r="FPA35" s="707"/>
      <c r="FPB35" s="707"/>
      <c r="FPC35" s="707"/>
      <c r="FPD35" s="707"/>
      <c r="FPE35" s="707"/>
      <c r="FPF35" s="707"/>
      <c r="FPG35" s="707"/>
      <c r="FPH35" s="707"/>
      <c r="FPI35" s="707"/>
      <c r="FPJ35" s="707"/>
      <c r="FPK35" s="707"/>
      <c r="FPL35" s="707"/>
      <c r="FPM35" s="707"/>
      <c r="FPN35" s="707"/>
      <c r="FPO35" s="707"/>
      <c r="FPP35" s="707"/>
      <c r="FPQ35" s="707"/>
      <c r="FPR35" s="707"/>
      <c r="FPS35" s="707"/>
      <c r="FPT35" s="707"/>
      <c r="FPU35" s="707"/>
      <c r="FPV35" s="707"/>
      <c r="FPW35" s="707"/>
      <c r="FPX35" s="707"/>
      <c r="FPY35" s="707"/>
      <c r="FPZ35" s="707"/>
      <c r="FQA35" s="707"/>
      <c r="FQB35" s="707"/>
      <c r="FQC35" s="707"/>
      <c r="FQD35" s="707"/>
      <c r="FQE35" s="707"/>
      <c r="FQF35" s="707"/>
      <c r="FQG35" s="707"/>
      <c r="FQH35" s="707"/>
      <c r="FQI35" s="707"/>
      <c r="FQJ35" s="707"/>
      <c r="FQK35" s="707"/>
      <c r="FQL35" s="707"/>
      <c r="FQM35" s="707"/>
      <c r="FQN35" s="707"/>
      <c r="FQO35" s="707"/>
      <c r="FQP35" s="707"/>
      <c r="FQQ35" s="707"/>
      <c r="FQR35" s="707"/>
      <c r="FQS35" s="707"/>
      <c r="FQT35" s="707"/>
      <c r="FQU35" s="707"/>
      <c r="FQV35" s="707"/>
      <c r="FQW35" s="707"/>
      <c r="FQX35" s="707"/>
      <c r="FQY35" s="707"/>
      <c r="FQZ35" s="707"/>
      <c r="FRA35" s="707"/>
      <c r="FRB35" s="707"/>
      <c r="FRC35" s="707"/>
      <c r="FRD35" s="707"/>
      <c r="FRE35" s="707"/>
      <c r="FRF35" s="707"/>
      <c r="FRG35" s="707"/>
      <c r="FRH35" s="707"/>
      <c r="FRI35" s="707"/>
      <c r="FRJ35" s="707"/>
      <c r="FRK35" s="707"/>
      <c r="FRL35" s="707"/>
      <c r="FRM35" s="707"/>
      <c r="FRN35" s="707"/>
      <c r="FRO35" s="707"/>
      <c r="FRP35" s="707"/>
      <c r="FRQ35" s="707"/>
      <c r="FRR35" s="707"/>
      <c r="FRS35" s="707"/>
      <c r="FRT35" s="707"/>
      <c r="FRU35" s="707"/>
      <c r="FRV35" s="707"/>
      <c r="FRW35" s="707"/>
      <c r="FRX35" s="707"/>
      <c r="FRY35" s="707"/>
      <c r="FRZ35" s="707"/>
      <c r="FSA35" s="707"/>
      <c r="FSB35" s="707"/>
      <c r="FSC35" s="707"/>
      <c r="FSD35" s="707"/>
      <c r="FSE35" s="707"/>
      <c r="FSF35" s="707"/>
      <c r="FSG35" s="707"/>
      <c r="FSH35" s="707"/>
      <c r="FSI35" s="707"/>
      <c r="FSJ35" s="707"/>
      <c r="FSK35" s="707"/>
      <c r="FSL35" s="707"/>
      <c r="FSM35" s="707"/>
      <c r="FSN35" s="707"/>
      <c r="FSO35" s="707"/>
      <c r="FSP35" s="707"/>
      <c r="FSQ35" s="707"/>
      <c r="FSR35" s="707"/>
      <c r="FSS35" s="707"/>
      <c r="FST35" s="707"/>
      <c r="FSU35" s="707"/>
      <c r="FSV35" s="707"/>
      <c r="FSW35" s="707"/>
      <c r="FSX35" s="707"/>
      <c r="FSY35" s="707"/>
      <c r="FSZ35" s="707"/>
      <c r="FTA35" s="707"/>
      <c r="FTB35" s="707"/>
      <c r="FTC35" s="707"/>
      <c r="FTD35" s="707"/>
      <c r="FTE35" s="707"/>
      <c r="FTF35" s="707"/>
      <c r="FTG35" s="707"/>
      <c r="FTH35" s="707"/>
      <c r="FTI35" s="707"/>
      <c r="FTJ35" s="707"/>
      <c r="FTK35" s="707"/>
      <c r="FTL35" s="707"/>
      <c r="FTM35" s="707"/>
      <c r="FTN35" s="707"/>
      <c r="FTO35" s="707"/>
      <c r="FTP35" s="707"/>
      <c r="FTQ35" s="707"/>
      <c r="FTR35" s="707"/>
      <c r="FTS35" s="707"/>
      <c r="FTT35" s="707"/>
      <c r="FTU35" s="707"/>
      <c r="FTV35" s="707"/>
      <c r="FTW35" s="707"/>
      <c r="FTX35" s="707"/>
      <c r="FTY35" s="707"/>
      <c r="FTZ35" s="707"/>
      <c r="FUA35" s="707"/>
      <c r="FUB35" s="707"/>
      <c r="FUC35" s="707"/>
      <c r="FUD35" s="707"/>
      <c r="FUE35" s="707"/>
      <c r="FUF35" s="707"/>
      <c r="FUG35" s="707"/>
      <c r="FUH35" s="707"/>
      <c r="FUI35" s="707"/>
      <c r="FUJ35" s="707"/>
      <c r="FUK35" s="707"/>
      <c r="FUL35" s="707"/>
      <c r="FUM35" s="707"/>
      <c r="FUN35" s="707"/>
      <c r="FUO35" s="707"/>
      <c r="FUP35" s="707"/>
      <c r="FUQ35" s="707"/>
      <c r="FUR35" s="707"/>
      <c r="FUS35" s="707"/>
      <c r="FUT35" s="707"/>
      <c r="FUU35" s="707"/>
      <c r="FUV35" s="707"/>
      <c r="FUW35" s="707"/>
      <c r="FUX35" s="707"/>
      <c r="FUY35" s="707"/>
      <c r="FUZ35" s="707"/>
      <c r="FVA35" s="707"/>
      <c r="FVB35" s="707"/>
      <c r="FVC35" s="707"/>
      <c r="FVD35" s="707"/>
      <c r="FVE35" s="707"/>
      <c r="FVF35" s="707"/>
      <c r="FVG35" s="707"/>
      <c r="FVH35" s="707"/>
      <c r="FVI35" s="707"/>
      <c r="FVJ35" s="707"/>
      <c r="FVK35" s="707"/>
      <c r="FVL35" s="707"/>
      <c r="FVM35" s="707"/>
      <c r="FVN35" s="707"/>
      <c r="FVO35" s="707"/>
      <c r="FVP35" s="707"/>
      <c r="FVQ35" s="707"/>
      <c r="FVR35" s="707"/>
      <c r="FVS35" s="707"/>
      <c r="FVT35" s="707"/>
      <c r="FVU35" s="707"/>
      <c r="FVV35" s="707"/>
      <c r="FVW35" s="707"/>
      <c r="FVX35" s="707"/>
      <c r="FVY35" s="707"/>
      <c r="FVZ35" s="707"/>
      <c r="FWA35" s="707"/>
      <c r="FWB35" s="707"/>
      <c r="FWC35" s="707"/>
      <c r="FWD35" s="707"/>
      <c r="FWE35" s="707"/>
      <c r="FWF35" s="707"/>
      <c r="FWG35" s="707"/>
      <c r="FWH35" s="707"/>
      <c r="FWI35" s="707"/>
      <c r="FWJ35" s="707"/>
      <c r="FWK35" s="707"/>
      <c r="FWL35" s="707"/>
      <c r="FWM35" s="707"/>
      <c r="FWN35" s="707"/>
      <c r="FWO35" s="707"/>
      <c r="FWP35" s="707"/>
      <c r="FWQ35" s="707"/>
      <c r="FWR35" s="707"/>
      <c r="FWS35" s="707"/>
      <c r="FWT35" s="707"/>
      <c r="FWU35" s="707"/>
      <c r="FWV35" s="707"/>
      <c r="FWW35" s="707"/>
      <c r="FWX35" s="707"/>
      <c r="FWY35" s="707"/>
      <c r="FWZ35" s="707"/>
      <c r="FXA35" s="707"/>
      <c r="FXB35" s="707"/>
      <c r="FXC35" s="707"/>
      <c r="FXD35" s="707"/>
      <c r="FXE35" s="707"/>
      <c r="FXF35" s="707"/>
      <c r="FXG35" s="707"/>
      <c r="FXH35" s="707"/>
      <c r="FXI35" s="707"/>
      <c r="FXJ35" s="707"/>
      <c r="FXK35" s="707"/>
      <c r="FXL35" s="707"/>
      <c r="FXM35" s="707"/>
      <c r="FXN35" s="707"/>
      <c r="FXO35" s="707"/>
      <c r="FXP35" s="707"/>
      <c r="FXQ35" s="707"/>
      <c r="FXR35" s="707"/>
      <c r="FXS35" s="707"/>
      <c r="FXT35" s="707"/>
      <c r="FXU35" s="707"/>
      <c r="FXV35" s="707"/>
      <c r="FXW35" s="707"/>
      <c r="FXX35" s="707"/>
      <c r="FXY35" s="707"/>
      <c r="FXZ35" s="707"/>
      <c r="FYA35" s="707"/>
      <c r="FYB35" s="707"/>
      <c r="FYC35" s="707"/>
      <c r="FYD35" s="707"/>
      <c r="FYE35" s="707"/>
      <c r="FYF35" s="707"/>
      <c r="FYG35" s="707"/>
      <c r="FYH35" s="707"/>
      <c r="FYI35" s="707"/>
      <c r="FYJ35" s="707"/>
      <c r="FYK35" s="707"/>
      <c r="FYL35" s="707"/>
      <c r="FYM35" s="707"/>
      <c r="FYN35" s="707"/>
      <c r="FYO35" s="707"/>
      <c r="FYP35" s="707"/>
      <c r="FYQ35" s="707"/>
      <c r="FYR35" s="707"/>
      <c r="FYS35" s="707"/>
      <c r="FYT35" s="707"/>
      <c r="FYU35" s="707"/>
      <c r="FYV35" s="707"/>
      <c r="FYW35" s="707"/>
      <c r="FYX35" s="707"/>
      <c r="FYY35" s="707"/>
      <c r="FYZ35" s="707"/>
      <c r="FZA35" s="707"/>
      <c r="FZB35" s="707"/>
      <c r="FZC35" s="707"/>
      <c r="FZD35" s="707"/>
      <c r="FZE35" s="707"/>
      <c r="FZF35" s="707"/>
      <c r="FZG35" s="707"/>
      <c r="FZH35" s="707"/>
      <c r="FZI35" s="707"/>
      <c r="FZJ35" s="707"/>
      <c r="FZK35" s="707"/>
      <c r="FZL35" s="707"/>
      <c r="FZM35" s="707"/>
      <c r="FZN35" s="707"/>
      <c r="FZO35" s="707"/>
      <c r="FZP35" s="707"/>
      <c r="FZQ35" s="707"/>
      <c r="FZR35" s="707"/>
      <c r="FZS35" s="707"/>
      <c r="FZT35" s="707"/>
      <c r="FZU35" s="707"/>
      <c r="FZV35" s="707"/>
      <c r="FZW35" s="707"/>
      <c r="FZX35" s="707"/>
      <c r="FZY35" s="707"/>
      <c r="FZZ35" s="707"/>
      <c r="GAA35" s="707"/>
      <c r="GAB35" s="707"/>
      <c r="GAC35" s="707"/>
      <c r="GAD35" s="707"/>
      <c r="GAE35" s="707"/>
      <c r="GAF35" s="707"/>
      <c r="GAG35" s="707"/>
      <c r="GAH35" s="707"/>
      <c r="GAI35" s="707"/>
      <c r="GAJ35" s="707"/>
      <c r="GAK35" s="707"/>
      <c r="GAL35" s="707"/>
      <c r="GAM35" s="707"/>
      <c r="GAN35" s="707"/>
      <c r="GAO35" s="707"/>
      <c r="GAP35" s="707"/>
      <c r="GAQ35" s="707"/>
      <c r="GAR35" s="707"/>
      <c r="GAS35" s="707"/>
      <c r="GAT35" s="707"/>
      <c r="GAU35" s="707"/>
      <c r="GAV35" s="707"/>
      <c r="GAW35" s="707"/>
      <c r="GAX35" s="707"/>
      <c r="GAY35" s="707"/>
      <c r="GAZ35" s="707"/>
      <c r="GBA35" s="707"/>
      <c r="GBB35" s="707"/>
      <c r="GBC35" s="707"/>
      <c r="GBD35" s="707"/>
      <c r="GBE35" s="707"/>
      <c r="GBF35" s="707"/>
      <c r="GBG35" s="707"/>
      <c r="GBH35" s="707"/>
      <c r="GBI35" s="707"/>
      <c r="GBJ35" s="707"/>
      <c r="GBK35" s="707"/>
      <c r="GBL35" s="707"/>
      <c r="GBM35" s="707"/>
      <c r="GBN35" s="707"/>
      <c r="GBO35" s="707"/>
      <c r="GBP35" s="707"/>
      <c r="GBQ35" s="707"/>
      <c r="GBR35" s="707"/>
      <c r="GBS35" s="707"/>
      <c r="GBT35" s="707"/>
      <c r="GBU35" s="707"/>
      <c r="GBV35" s="707"/>
      <c r="GBW35" s="707"/>
      <c r="GBX35" s="707"/>
      <c r="GBY35" s="707"/>
      <c r="GBZ35" s="707"/>
      <c r="GCA35" s="707"/>
      <c r="GCB35" s="707"/>
      <c r="GCC35" s="707"/>
      <c r="GCD35" s="707"/>
      <c r="GCE35" s="707"/>
      <c r="GCF35" s="707"/>
      <c r="GCG35" s="707"/>
      <c r="GCH35" s="707"/>
      <c r="GCI35" s="707"/>
      <c r="GCJ35" s="707"/>
      <c r="GCK35" s="707"/>
      <c r="GCL35" s="707"/>
      <c r="GCM35" s="707"/>
      <c r="GCN35" s="707"/>
      <c r="GCO35" s="707"/>
      <c r="GCP35" s="707"/>
      <c r="GCQ35" s="707"/>
      <c r="GCR35" s="707"/>
      <c r="GCS35" s="707"/>
      <c r="GCT35" s="707"/>
      <c r="GCU35" s="707"/>
      <c r="GCV35" s="707"/>
      <c r="GCW35" s="707"/>
      <c r="GCX35" s="707"/>
      <c r="GCY35" s="707"/>
      <c r="GCZ35" s="707"/>
      <c r="GDA35" s="707"/>
      <c r="GDB35" s="707"/>
      <c r="GDC35" s="707"/>
      <c r="GDD35" s="707"/>
      <c r="GDE35" s="707"/>
      <c r="GDF35" s="707"/>
      <c r="GDG35" s="707"/>
      <c r="GDH35" s="707"/>
      <c r="GDI35" s="707"/>
      <c r="GDJ35" s="707"/>
      <c r="GDK35" s="707"/>
      <c r="GDL35" s="707"/>
      <c r="GDM35" s="707"/>
      <c r="GDN35" s="707"/>
      <c r="GDO35" s="707"/>
      <c r="GDP35" s="707"/>
      <c r="GDQ35" s="707"/>
      <c r="GDR35" s="707"/>
      <c r="GDS35" s="707"/>
      <c r="GDT35" s="707"/>
      <c r="GDU35" s="707"/>
      <c r="GDV35" s="707"/>
      <c r="GDW35" s="707"/>
      <c r="GDX35" s="707"/>
      <c r="GDY35" s="707"/>
      <c r="GDZ35" s="707"/>
      <c r="GEA35" s="707"/>
      <c r="GEB35" s="707"/>
      <c r="GEC35" s="707"/>
      <c r="GED35" s="707"/>
      <c r="GEE35" s="707"/>
      <c r="GEF35" s="707"/>
      <c r="GEG35" s="707"/>
      <c r="GEH35" s="707"/>
      <c r="GEI35" s="707"/>
      <c r="GEJ35" s="707"/>
      <c r="GEK35" s="707"/>
      <c r="GEL35" s="707"/>
      <c r="GEM35" s="707"/>
      <c r="GEN35" s="707"/>
      <c r="GEO35" s="707"/>
      <c r="GEP35" s="707"/>
      <c r="GEQ35" s="707"/>
      <c r="GER35" s="707"/>
      <c r="GES35" s="707"/>
      <c r="GET35" s="707"/>
      <c r="GEU35" s="707"/>
      <c r="GEV35" s="707"/>
      <c r="GEW35" s="707"/>
      <c r="GEX35" s="707"/>
      <c r="GEY35" s="707"/>
      <c r="GEZ35" s="707"/>
      <c r="GFA35" s="707"/>
      <c r="GFB35" s="707"/>
      <c r="GFC35" s="707"/>
      <c r="GFD35" s="707"/>
      <c r="GFE35" s="707"/>
      <c r="GFF35" s="707"/>
      <c r="GFG35" s="707"/>
      <c r="GFH35" s="707"/>
      <c r="GFI35" s="707"/>
      <c r="GFJ35" s="707"/>
      <c r="GFK35" s="707"/>
      <c r="GFL35" s="707"/>
      <c r="GFM35" s="707"/>
      <c r="GFN35" s="707"/>
      <c r="GFO35" s="707"/>
      <c r="GFP35" s="707"/>
      <c r="GFQ35" s="707"/>
      <c r="GFR35" s="707"/>
      <c r="GFS35" s="707"/>
      <c r="GFT35" s="707"/>
      <c r="GFU35" s="707"/>
      <c r="GFV35" s="707"/>
      <c r="GFW35" s="707"/>
      <c r="GFX35" s="707"/>
      <c r="GFY35" s="707"/>
      <c r="GFZ35" s="707"/>
      <c r="GGA35" s="707"/>
      <c r="GGB35" s="707"/>
      <c r="GGC35" s="707"/>
      <c r="GGD35" s="707"/>
      <c r="GGE35" s="707"/>
      <c r="GGF35" s="707"/>
      <c r="GGG35" s="707"/>
      <c r="GGH35" s="707"/>
      <c r="GGI35" s="707"/>
      <c r="GGJ35" s="707"/>
      <c r="GGK35" s="707"/>
      <c r="GGL35" s="707"/>
      <c r="GGM35" s="707"/>
      <c r="GGN35" s="707"/>
      <c r="GGO35" s="707"/>
      <c r="GGP35" s="707"/>
      <c r="GGQ35" s="707"/>
      <c r="GGR35" s="707"/>
      <c r="GGS35" s="707"/>
      <c r="GGT35" s="707"/>
      <c r="GGU35" s="707"/>
      <c r="GGV35" s="707"/>
      <c r="GGW35" s="707"/>
      <c r="GGX35" s="707"/>
      <c r="GGY35" s="707"/>
      <c r="GGZ35" s="707"/>
      <c r="GHA35" s="707"/>
      <c r="GHB35" s="707"/>
      <c r="GHC35" s="707"/>
      <c r="GHD35" s="707"/>
      <c r="GHE35" s="707"/>
      <c r="GHF35" s="707"/>
      <c r="GHG35" s="707"/>
      <c r="GHH35" s="707"/>
      <c r="GHI35" s="707"/>
      <c r="GHJ35" s="707"/>
      <c r="GHK35" s="707"/>
      <c r="GHL35" s="707"/>
      <c r="GHM35" s="707"/>
      <c r="GHN35" s="707"/>
      <c r="GHO35" s="707"/>
      <c r="GHP35" s="707"/>
      <c r="GHQ35" s="707"/>
      <c r="GHR35" s="707"/>
      <c r="GHS35" s="707"/>
      <c r="GHT35" s="707"/>
      <c r="GHU35" s="707"/>
      <c r="GHV35" s="707"/>
      <c r="GHW35" s="707"/>
      <c r="GHX35" s="707"/>
      <c r="GHY35" s="707"/>
      <c r="GHZ35" s="707"/>
      <c r="GIA35" s="707"/>
      <c r="GIB35" s="707"/>
      <c r="GIC35" s="707"/>
      <c r="GID35" s="707"/>
      <c r="GIE35" s="707"/>
      <c r="GIF35" s="707"/>
      <c r="GIG35" s="707"/>
      <c r="GIH35" s="707"/>
      <c r="GII35" s="707"/>
      <c r="GIJ35" s="707"/>
      <c r="GIK35" s="707"/>
      <c r="GIL35" s="707"/>
      <c r="GIM35" s="707"/>
      <c r="GIN35" s="707"/>
      <c r="GIO35" s="707"/>
      <c r="GIP35" s="707"/>
      <c r="GIQ35" s="707"/>
      <c r="GIR35" s="707"/>
      <c r="GIS35" s="707"/>
      <c r="GIT35" s="707"/>
      <c r="GIU35" s="707"/>
      <c r="GIV35" s="707"/>
      <c r="GIW35" s="707"/>
      <c r="GIX35" s="707"/>
      <c r="GIY35" s="707"/>
      <c r="GIZ35" s="707"/>
      <c r="GJA35" s="707"/>
      <c r="GJB35" s="707"/>
      <c r="GJC35" s="707"/>
      <c r="GJD35" s="707"/>
      <c r="GJE35" s="707"/>
      <c r="GJF35" s="707"/>
      <c r="GJG35" s="707"/>
      <c r="GJH35" s="707"/>
      <c r="GJI35" s="707"/>
      <c r="GJJ35" s="707"/>
      <c r="GJK35" s="707"/>
      <c r="GJL35" s="707"/>
      <c r="GJM35" s="707"/>
      <c r="GJN35" s="707"/>
      <c r="GJO35" s="707"/>
      <c r="GJP35" s="707"/>
      <c r="GJQ35" s="707"/>
      <c r="GJR35" s="707"/>
      <c r="GJS35" s="707"/>
      <c r="GJT35" s="707"/>
      <c r="GJU35" s="707"/>
      <c r="GJV35" s="707"/>
      <c r="GJW35" s="707"/>
      <c r="GJX35" s="707"/>
      <c r="GJY35" s="707"/>
      <c r="GJZ35" s="707"/>
      <c r="GKA35" s="707"/>
      <c r="GKB35" s="707"/>
      <c r="GKC35" s="707"/>
      <c r="GKD35" s="707"/>
      <c r="GKE35" s="707"/>
      <c r="GKF35" s="707"/>
      <c r="GKG35" s="707"/>
      <c r="GKH35" s="707"/>
      <c r="GKI35" s="707"/>
      <c r="GKJ35" s="707"/>
      <c r="GKK35" s="707"/>
      <c r="GKL35" s="707"/>
      <c r="GKM35" s="707"/>
      <c r="GKN35" s="707"/>
      <c r="GKO35" s="707"/>
      <c r="GKP35" s="707"/>
      <c r="GKQ35" s="707"/>
      <c r="GKR35" s="707"/>
      <c r="GKS35" s="707"/>
      <c r="GKT35" s="707"/>
      <c r="GKU35" s="707"/>
      <c r="GKV35" s="707"/>
      <c r="GKW35" s="707"/>
      <c r="GKX35" s="707"/>
      <c r="GKY35" s="707"/>
      <c r="GKZ35" s="707"/>
      <c r="GLA35" s="707"/>
      <c r="GLB35" s="707"/>
      <c r="GLC35" s="707"/>
      <c r="GLD35" s="707"/>
      <c r="GLE35" s="707"/>
      <c r="GLF35" s="707"/>
      <c r="GLG35" s="707"/>
      <c r="GLH35" s="707"/>
      <c r="GLI35" s="707"/>
      <c r="GLJ35" s="707"/>
      <c r="GLK35" s="707"/>
      <c r="GLL35" s="707"/>
      <c r="GLM35" s="707"/>
      <c r="GLN35" s="707"/>
      <c r="GLO35" s="707"/>
      <c r="GLP35" s="707"/>
      <c r="GLQ35" s="707"/>
      <c r="GLR35" s="707"/>
      <c r="GLS35" s="707"/>
      <c r="GLT35" s="707"/>
      <c r="GLU35" s="707"/>
      <c r="GLV35" s="707"/>
      <c r="GLW35" s="707"/>
      <c r="GLX35" s="707"/>
      <c r="GLY35" s="707"/>
      <c r="GLZ35" s="707"/>
      <c r="GMA35" s="707"/>
      <c r="GMB35" s="707"/>
      <c r="GMC35" s="707"/>
      <c r="GMD35" s="707"/>
      <c r="GME35" s="707"/>
      <c r="GMF35" s="707"/>
      <c r="GMG35" s="707"/>
      <c r="GMH35" s="707"/>
      <c r="GMI35" s="707"/>
      <c r="GMJ35" s="707"/>
      <c r="GMK35" s="707"/>
      <c r="GML35" s="707"/>
      <c r="GMM35" s="707"/>
      <c r="GMN35" s="707"/>
      <c r="GMO35" s="707"/>
      <c r="GMP35" s="707"/>
      <c r="GMQ35" s="707"/>
      <c r="GMR35" s="707"/>
      <c r="GMS35" s="707"/>
      <c r="GMT35" s="707"/>
      <c r="GMU35" s="707"/>
      <c r="GMV35" s="707"/>
      <c r="GMW35" s="707"/>
      <c r="GMX35" s="707"/>
      <c r="GMY35" s="707"/>
      <c r="GMZ35" s="707"/>
      <c r="GNA35" s="707"/>
      <c r="GNB35" s="707"/>
      <c r="GNC35" s="707"/>
      <c r="GND35" s="707"/>
      <c r="GNE35" s="707"/>
      <c r="GNF35" s="707"/>
      <c r="GNG35" s="707"/>
      <c r="GNH35" s="707"/>
      <c r="GNI35" s="707"/>
      <c r="GNJ35" s="707"/>
      <c r="GNK35" s="707"/>
      <c r="GNL35" s="707"/>
      <c r="GNM35" s="707"/>
      <c r="GNN35" s="707"/>
      <c r="GNO35" s="707"/>
      <c r="GNP35" s="707"/>
      <c r="GNQ35" s="707"/>
      <c r="GNR35" s="707"/>
      <c r="GNS35" s="707"/>
      <c r="GNT35" s="707"/>
      <c r="GNU35" s="707"/>
      <c r="GNV35" s="707"/>
      <c r="GNW35" s="707"/>
      <c r="GNX35" s="707"/>
      <c r="GNY35" s="707"/>
      <c r="GNZ35" s="707"/>
      <c r="GOA35" s="707"/>
      <c r="GOB35" s="707"/>
      <c r="GOC35" s="707"/>
      <c r="GOD35" s="707"/>
      <c r="GOE35" s="707"/>
      <c r="GOF35" s="707"/>
      <c r="GOG35" s="707"/>
      <c r="GOH35" s="707"/>
      <c r="GOI35" s="707"/>
      <c r="GOJ35" s="707"/>
      <c r="GOK35" s="707"/>
      <c r="GOL35" s="707"/>
      <c r="GOM35" s="707"/>
      <c r="GON35" s="707"/>
      <c r="GOO35" s="707"/>
      <c r="GOP35" s="707"/>
      <c r="GOQ35" s="707"/>
      <c r="GOR35" s="707"/>
      <c r="GOS35" s="707"/>
      <c r="GOT35" s="707"/>
      <c r="GOU35" s="707"/>
      <c r="GOV35" s="707"/>
      <c r="GOW35" s="707"/>
      <c r="GOX35" s="707"/>
      <c r="GOY35" s="707"/>
      <c r="GOZ35" s="707"/>
      <c r="GPA35" s="707"/>
      <c r="GPB35" s="707"/>
      <c r="GPC35" s="707"/>
      <c r="GPD35" s="707"/>
      <c r="GPE35" s="707"/>
      <c r="GPF35" s="707"/>
      <c r="GPG35" s="707"/>
      <c r="GPH35" s="707"/>
      <c r="GPI35" s="707"/>
      <c r="GPJ35" s="707"/>
      <c r="GPK35" s="707"/>
      <c r="GPL35" s="707"/>
      <c r="GPM35" s="707"/>
      <c r="GPN35" s="707"/>
      <c r="GPO35" s="707"/>
      <c r="GPP35" s="707"/>
      <c r="GPQ35" s="707"/>
      <c r="GPR35" s="707"/>
      <c r="GPS35" s="707"/>
      <c r="GPT35" s="707"/>
      <c r="GPU35" s="707"/>
      <c r="GPV35" s="707"/>
      <c r="GPW35" s="707"/>
      <c r="GPX35" s="707"/>
      <c r="GPY35" s="707"/>
      <c r="GPZ35" s="707"/>
      <c r="GQA35" s="707"/>
      <c r="GQB35" s="707"/>
      <c r="GQC35" s="707"/>
      <c r="GQD35" s="707"/>
      <c r="GQE35" s="707"/>
      <c r="GQF35" s="707"/>
      <c r="GQG35" s="707"/>
      <c r="GQH35" s="707"/>
      <c r="GQI35" s="707"/>
      <c r="GQJ35" s="707"/>
      <c r="GQK35" s="707"/>
      <c r="GQL35" s="707"/>
      <c r="GQM35" s="707"/>
      <c r="GQN35" s="707"/>
      <c r="GQO35" s="707"/>
      <c r="GQP35" s="707"/>
      <c r="GQQ35" s="707"/>
      <c r="GQR35" s="707"/>
      <c r="GQS35" s="707"/>
      <c r="GQT35" s="707"/>
      <c r="GQU35" s="707"/>
      <c r="GQV35" s="707"/>
      <c r="GQW35" s="707"/>
      <c r="GQX35" s="707"/>
      <c r="GQY35" s="707"/>
      <c r="GQZ35" s="707"/>
      <c r="GRA35" s="707"/>
      <c r="GRB35" s="707"/>
      <c r="GRC35" s="707"/>
      <c r="GRD35" s="707"/>
      <c r="GRE35" s="707"/>
      <c r="GRF35" s="707"/>
      <c r="GRG35" s="707"/>
      <c r="GRH35" s="707"/>
      <c r="GRI35" s="707"/>
      <c r="GRJ35" s="707"/>
      <c r="GRK35" s="707"/>
      <c r="GRL35" s="707"/>
      <c r="GRM35" s="707"/>
      <c r="GRN35" s="707"/>
      <c r="GRO35" s="707"/>
      <c r="GRP35" s="707"/>
      <c r="GRQ35" s="707"/>
      <c r="GRR35" s="707"/>
      <c r="GRS35" s="707"/>
      <c r="GRT35" s="707"/>
      <c r="GRU35" s="707"/>
      <c r="GRV35" s="707"/>
      <c r="GRW35" s="707"/>
      <c r="GRX35" s="707"/>
      <c r="GRY35" s="707"/>
      <c r="GRZ35" s="707"/>
      <c r="GSA35" s="707"/>
      <c r="GSB35" s="707"/>
      <c r="GSC35" s="707"/>
      <c r="GSD35" s="707"/>
      <c r="GSE35" s="707"/>
      <c r="GSF35" s="707"/>
      <c r="GSG35" s="707"/>
      <c r="GSH35" s="707"/>
      <c r="GSI35" s="707"/>
      <c r="GSJ35" s="707"/>
      <c r="GSK35" s="707"/>
      <c r="GSL35" s="707"/>
      <c r="GSM35" s="707"/>
      <c r="GSN35" s="707"/>
      <c r="GSO35" s="707"/>
      <c r="GSP35" s="707"/>
      <c r="GSQ35" s="707"/>
      <c r="GSR35" s="707"/>
      <c r="GSS35" s="707"/>
      <c r="GST35" s="707"/>
      <c r="GSU35" s="707"/>
      <c r="GSV35" s="707"/>
      <c r="GSW35" s="707"/>
      <c r="GSX35" s="707"/>
      <c r="GSY35" s="707"/>
      <c r="GSZ35" s="707"/>
      <c r="GTA35" s="707"/>
      <c r="GTB35" s="707"/>
      <c r="GTC35" s="707"/>
      <c r="GTD35" s="707"/>
      <c r="GTE35" s="707"/>
      <c r="GTF35" s="707"/>
      <c r="GTG35" s="707"/>
      <c r="GTH35" s="707"/>
      <c r="GTI35" s="707"/>
      <c r="GTJ35" s="707"/>
      <c r="GTK35" s="707"/>
      <c r="GTL35" s="707"/>
      <c r="GTM35" s="707"/>
      <c r="GTN35" s="707"/>
      <c r="GTO35" s="707"/>
      <c r="GTP35" s="707"/>
      <c r="GTQ35" s="707"/>
      <c r="GTR35" s="707"/>
      <c r="GTS35" s="707"/>
      <c r="GTT35" s="707"/>
      <c r="GTU35" s="707"/>
      <c r="GTV35" s="707"/>
      <c r="GTW35" s="707"/>
      <c r="GTX35" s="707"/>
      <c r="GTY35" s="707"/>
      <c r="GTZ35" s="707"/>
      <c r="GUA35" s="707"/>
      <c r="GUB35" s="707"/>
      <c r="GUC35" s="707"/>
      <c r="GUD35" s="707"/>
      <c r="GUE35" s="707"/>
      <c r="GUF35" s="707"/>
      <c r="GUG35" s="707"/>
      <c r="GUH35" s="707"/>
      <c r="GUI35" s="707"/>
      <c r="GUJ35" s="707"/>
      <c r="GUK35" s="707"/>
      <c r="GUL35" s="707"/>
      <c r="GUM35" s="707"/>
      <c r="GUN35" s="707"/>
      <c r="GUO35" s="707"/>
      <c r="GUP35" s="707"/>
      <c r="GUQ35" s="707"/>
      <c r="GUR35" s="707"/>
      <c r="GUS35" s="707"/>
      <c r="GUT35" s="707"/>
      <c r="GUU35" s="707"/>
      <c r="GUV35" s="707"/>
      <c r="GUW35" s="707"/>
      <c r="GUX35" s="707"/>
      <c r="GUY35" s="707"/>
      <c r="GUZ35" s="707"/>
      <c r="GVA35" s="707"/>
      <c r="GVB35" s="707"/>
      <c r="GVC35" s="707"/>
      <c r="GVD35" s="707"/>
      <c r="GVE35" s="707"/>
      <c r="GVF35" s="707"/>
      <c r="GVG35" s="707"/>
      <c r="GVH35" s="707"/>
      <c r="GVI35" s="707"/>
      <c r="GVJ35" s="707"/>
      <c r="GVK35" s="707"/>
      <c r="GVL35" s="707"/>
      <c r="GVM35" s="707"/>
      <c r="GVN35" s="707"/>
      <c r="GVO35" s="707"/>
      <c r="GVP35" s="707"/>
      <c r="GVQ35" s="707"/>
      <c r="GVR35" s="707"/>
      <c r="GVS35" s="707"/>
      <c r="GVT35" s="707"/>
      <c r="GVU35" s="707"/>
      <c r="GVV35" s="707"/>
      <c r="GVW35" s="707"/>
      <c r="GVX35" s="707"/>
      <c r="GVY35" s="707"/>
      <c r="GVZ35" s="707"/>
      <c r="GWA35" s="707"/>
      <c r="GWB35" s="707"/>
      <c r="GWC35" s="707"/>
      <c r="GWD35" s="707"/>
      <c r="GWE35" s="707"/>
      <c r="GWF35" s="707"/>
      <c r="GWG35" s="707"/>
      <c r="GWH35" s="707"/>
      <c r="GWI35" s="707"/>
      <c r="GWJ35" s="707"/>
      <c r="GWK35" s="707"/>
      <c r="GWL35" s="707"/>
      <c r="GWM35" s="707"/>
      <c r="GWN35" s="707"/>
      <c r="GWO35" s="707"/>
      <c r="GWP35" s="707"/>
      <c r="GWQ35" s="707"/>
      <c r="GWR35" s="707"/>
      <c r="GWS35" s="707"/>
      <c r="GWT35" s="707"/>
      <c r="GWU35" s="707"/>
      <c r="GWV35" s="707"/>
      <c r="GWW35" s="707"/>
      <c r="GWX35" s="707"/>
      <c r="GWY35" s="707"/>
      <c r="GWZ35" s="707"/>
      <c r="GXA35" s="707"/>
      <c r="GXB35" s="707"/>
      <c r="GXC35" s="707"/>
      <c r="GXD35" s="707"/>
      <c r="GXE35" s="707"/>
      <c r="GXF35" s="707"/>
      <c r="GXG35" s="707"/>
      <c r="GXH35" s="707"/>
      <c r="GXI35" s="707"/>
      <c r="GXJ35" s="707"/>
      <c r="GXK35" s="707"/>
      <c r="GXL35" s="707"/>
      <c r="GXM35" s="707"/>
      <c r="GXN35" s="707"/>
      <c r="GXO35" s="707"/>
      <c r="GXP35" s="707"/>
      <c r="GXQ35" s="707"/>
      <c r="GXR35" s="707"/>
      <c r="GXS35" s="707"/>
      <c r="GXT35" s="707"/>
      <c r="GXU35" s="707"/>
      <c r="GXV35" s="707"/>
      <c r="GXW35" s="707"/>
      <c r="GXX35" s="707"/>
      <c r="GXY35" s="707"/>
      <c r="GXZ35" s="707"/>
      <c r="GYA35" s="707"/>
      <c r="GYB35" s="707"/>
      <c r="GYC35" s="707"/>
      <c r="GYD35" s="707"/>
      <c r="GYE35" s="707"/>
      <c r="GYF35" s="707"/>
      <c r="GYG35" s="707"/>
      <c r="GYH35" s="707"/>
      <c r="GYI35" s="707"/>
      <c r="GYJ35" s="707"/>
      <c r="GYK35" s="707"/>
      <c r="GYL35" s="707"/>
      <c r="GYM35" s="707"/>
      <c r="GYN35" s="707"/>
      <c r="GYO35" s="707"/>
      <c r="GYP35" s="707"/>
      <c r="GYQ35" s="707"/>
      <c r="GYR35" s="707"/>
      <c r="GYS35" s="707"/>
      <c r="GYT35" s="707"/>
      <c r="GYU35" s="707"/>
      <c r="GYV35" s="707"/>
      <c r="GYW35" s="707"/>
      <c r="GYX35" s="707"/>
      <c r="GYY35" s="707"/>
      <c r="GYZ35" s="707"/>
      <c r="GZA35" s="707"/>
      <c r="GZB35" s="707"/>
      <c r="GZC35" s="707"/>
      <c r="GZD35" s="707"/>
      <c r="GZE35" s="707"/>
      <c r="GZF35" s="707"/>
      <c r="GZG35" s="707"/>
      <c r="GZH35" s="707"/>
      <c r="GZI35" s="707"/>
      <c r="GZJ35" s="707"/>
      <c r="GZK35" s="707"/>
      <c r="GZL35" s="707"/>
      <c r="GZM35" s="707"/>
      <c r="GZN35" s="707"/>
      <c r="GZO35" s="707"/>
      <c r="GZP35" s="707"/>
      <c r="GZQ35" s="707"/>
      <c r="GZR35" s="707"/>
      <c r="GZS35" s="707"/>
      <c r="GZT35" s="707"/>
      <c r="GZU35" s="707"/>
      <c r="GZV35" s="707"/>
      <c r="GZW35" s="707"/>
      <c r="GZX35" s="707"/>
      <c r="GZY35" s="707"/>
      <c r="GZZ35" s="707"/>
      <c r="HAA35" s="707"/>
      <c r="HAB35" s="707"/>
      <c r="HAC35" s="707"/>
      <c r="HAD35" s="707"/>
      <c r="HAE35" s="707"/>
      <c r="HAF35" s="707"/>
      <c r="HAG35" s="707"/>
      <c r="HAH35" s="707"/>
      <c r="HAI35" s="707"/>
      <c r="HAJ35" s="707"/>
      <c r="HAK35" s="707"/>
      <c r="HAL35" s="707"/>
      <c r="HAM35" s="707"/>
      <c r="HAN35" s="707"/>
      <c r="HAO35" s="707"/>
      <c r="HAP35" s="707"/>
      <c r="HAQ35" s="707"/>
      <c r="HAR35" s="707"/>
      <c r="HAS35" s="707"/>
      <c r="HAT35" s="707"/>
      <c r="HAU35" s="707"/>
      <c r="HAV35" s="707"/>
      <c r="HAW35" s="707"/>
      <c r="HAX35" s="707"/>
      <c r="HAY35" s="707"/>
      <c r="HAZ35" s="707"/>
      <c r="HBA35" s="707"/>
      <c r="HBB35" s="707"/>
      <c r="HBC35" s="707"/>
      <c r="HBD35" s="707"/>
      <c r="HBE35" s="707"/>
      <c r="HBF35" s="707"/>
      <c r="HBG35" s="707"/>
      <c r="HBH35" s="707"/>
      <c r="HBI35" s="707"/>
      <c r="HBJ35" s="707"/>
      <c r="HBK35" s="707"/>
      <c r="HBL35" s="707"/>
      <c r="HBM35" s="707"/>
      <c r="HBN35" s="707"/>
      <c r="HBO35" s="707"/>
      <c r="HBP35" s="707"/>
      <c r="HBQ35" s="707"/>
      <c r="HBR35" s="707"/>
      <c r="HBS35" s="707"/>
      <c r="HBT35" s="707"/>
      <c r="HBU35" s="707"/>
      <c r="HBV35" s="707"/>
      <c r="HBW35" s="707"/>
      <c r="HBX35" s="707"/>
      <c r="HBY35" s="707"/>
      <c r="HBZ35" s="707"/>
      <c r="HCA35" s="707"/>
      <c r="HCB35" s="707"/>
      <c r="HCC35" s="707"/>
      <c r="HCD35" s="707"/>
      <c r="HCE35" s="707"/>
      <c r="HCF35" s="707"/>
      <c r="HCG35" s="707"/>
      <c r="HCH35" s="707"/>
      <c r="HCI35" s="707"/>
      <c r="HCJ35" s="707"/>
      <c r="HCK35" s="707"/>
      <c r="HCL35" s="707"/>
      <c r="HCM35" s="707"/>
      <c r="HCN35" s="707"/>
      <c r="HCO35" s="707"/>
      <c r="HCP35" s="707"/>
      <c r="HCQ35" s="707"/>
      <c r="HCR35" s="707"/>
      <c r="HCS35" s="707"/>
      <c r="HCT35" s="707"/>
      <c r="HCU35" s="707"/>
      <c r="HCV35" s="707"/>
      <c r="HCW35" s="707"/>
      <c r="HCX35" s="707"/>
      <c r="HCY35" s="707"/>
      <c r="HCZ35" s="707"/>
      <c r="HDA35" s="707"/>
      <c r="HDB35" s="707"/>
      <c r="HDC35" s="707"/>
      <c r="HDD35" s="707"/>
      <c r="HDE35" s="707"/>
      <c r="HDF35" s="707"/>
      <c r="HDG35" s="707"/>
      <c r="HDH35" s="707"/>
      <c r="HDI35" s="707"/>
      <c r="HDJ35" s="707"/>
      <c r="HDK35" s="707"/>
      <c r="HDL35" s="707"/>
      <c r="HDM35" s="707"/>
      <c r="HDN35" s="707"/>
      <c r="HDO35" s="707"/>
      <c r="HDP35" s="707"/>
      <c r="HDQ35" s="707"/>
      <c r="HDR35" s="707"/>
      <c r="HDS35" s="707"/>
      <c r="HDT35" s="707"/>
      <c r="HDU35" s="707"/>
      <c r="HDV35" s="707"/>
      <c r="HDW35" s="707"/>
      <c r="HDX35" s="707"/>
      <c r="HDY35" s="707"/>
      <c r="HDZ35" s="707"/>
      <c r="HEA35" s="707"/>
      <c r="HEB35" s="707"/>
      <c r="HEC35" s="707"/>
      <c r="HED35" s="707"/>
      <c r="HEE35" s="707"/>
      <c r="HEF35" s="707"/>
      <c r="HEG35" s="707"/>
      <c r="HEH35" s="707"/>
      <c r="HEI35" s="707"/>
      <c r="HEJ35" s="707"/>
      <c r="HEK35" s="707"/>
      <c r="HEL35" s="707"/>
      <c r="HEM35" s="707"/>
      <c r="HEN35" s="707"/>
      <c r="HEO35" s="707"/>
      <c r="HEP35" s="707"/>
      <c r="HEQ35" s="707"/>
      <c r="HER35" s="707"/>
      <c r="HES35" s="707"/>
      <c r="HET35" s="707"/>
      <c r="HEU35" s="707"/>
      <c r="HEV35" s="707"/>
      <c r="HEW35" s="707"/>
      <c r="HEX35" s="707"/>
      <c r="HEY35" s="707"/>
      <c r="HEZ35" s="707"/>
      <c r="HFA35" s="707"/>
      <c r="HFB35" s="707"/>
      <c r="HFC35" s="707"/>
      <c r="HFD35" s="707"/>
      <c r="HFE35" s="707"/>
      <c r="HFF35" s="707"/>
      <c r="HFG35" s="707"/>
      <c r="HFH35" s="707"/>
      <c r="HFI35" s="707"/>
      <c r="HFJ35" s="707"/>
      <c r="HFK35" s="707"/>
      <c r="HFL35" s="707"/>
      <c r="HFM35" s="707"/>
      <c r="HFN35" s="707"/>
      <c r="HFO35" s="707"/>
      <c r="HFP35" s="707"/>
      <c r="HFQ35" s="707"/>
      <c r="HFR35" s="707"/>
      <c r="HFS35" s="707"/>
      <c r="HFT35" s="707"/>
      <c r="HFU35" s="707"/>
      <c r="HFV35" s="707"/>
      <c r="HFW35" s="707"/>
      <c r="HFX35" s="707"/>
      <c r="HFY35" s="707"/>
      <c r="HFZ35" s="707"/>
      <c r="HGA35" s="707"/>
      <c r="HGB35" s="707"/>
      <c r="HGC35" s="707"/>
      <c r="HGD35" s="707"/>
      <c r="HGE35" s="707"/>
      <c r="HGF35" s="707"/>
      <c r="HGG35" s="707"/>
      <c r="HGH35" s="707"/>
      <c r="HGI35" s="707"/>
      <c r="HGJ35" s="707"/>
      <c r="HGK35" s="707"/>
      <c r="HGL35" s="707"/>
      <c r="HGM35" s="707"/>
      <c r="HGN35" s="707"/>
      <c r="HGO35" s="707"/>
      <c r="HGP35" s="707"/>
      <c r="HGQ35" s="707"/>
      <c r="HGR35" s="707"/>
      <c r="HGS35" s="707"/>
      <c r="HGT35" s="707"/>
      <c r="HGU35" s="707"/>
      <c r="HGV35" s="707"/>
      <c r="HGW35" s="707"/>
      <c r="HGX35" s="707"/>
      <c r="HGY35" s="707"/>
      <c r="HGZ35" s="707"/>
      <c r="HHA35" s="707"/>
      <c r="HHB35" s="707"/>
      <c r="HHC35" s="707"/>
      <c r="HHD35" s="707"/>
      <c r="HHE35" s="707"/>
      <c r="HHF35" s="707"/>
      <c r="HHG35" s="707"/>
      <c r="HHH35" s="707"/>
      <c r="HHI35" s="707"/>
      <c r="HHJ35" s="707"/>
      <c r="HHK35" s="707"/>
      <c r="HHL35" s="707"/>
      <c r="HHM35" s="707"/>
      <c r="HHN35" s="707"/>
      <c r="HHO35" s="707"/>
      <c r="HHP35" s="707"/>
      <c r="HHQ35" s="707"/>
      <c r="HHR35" s="707"/>
      <c r="HHS35" s="707"/>
      <c r="HHT35" s="707"/>
      <c r="HHU35" s="707"/>
      <c r="HHV35" s="707"/>
      <c r="HHW35" s="707"/>
      <c r="HHX35" s="707"/>
      <c r="HHY35" s="707"/>
      <c r="HHZ35" s="707"/>
      <c r="HIA35" s="707"/>
      <c r="HIB35" s="707"/>
      <c r="HIC35" s="707"/>
      <c r="HID35" s="707"/>
      <c r="HIE35" s="707"/>
      <c r="HIF35" s="707"/>
      <c r="HIG35" s="707"/>
      <c r="HIH35" s="707"/>
      <c r="HII35" s="707"/>
      <c r="HIJ35" s="707"/>
      <c r="HIK35" s="707"/>
      <c r="HIL35" s="707"/>
      <c r="HIM35" s="707"/>
      <c r="HIN35" s="707"/>
      <c r="HIO35" s="707"/>
      <c r="HIP35" s="707"/>
      <c r="HIQ35" s="707"/>
      <c r="HIR35" s="707"/>
      <c r="HIS35" s="707"/>
      <c r="HIT35" s="707"/>
      <c r="HIU35" s="707"/>
      <c r="HIV35" s="707"/>
      <c r="HIW35" s="707"/>
      <c r="HIX35" s="707"/>
      <c r="HIY35" s="707"/>
      <c r="HIZ35" s="707"/>
      <c r="HJA35" s="707"/>
      <c r="HJB35" s="707"/>
      <c r="HJC35" s="707"/>
      <c r="HJD35" s="707"/>
      <c r="HJE35" s="707"/>
      <c r="HJF35" s="707"/>
      <c r="HJG35" s="707"/>
      <c r="HJH35" s="707"/>
      <c r="HJI35" s="707"/>
      <c r="HJJ35" s="707"/>
      <c r="HJK35" s="707"/>
      <c r="HJL35" s="707"/>
      <c r="HJM35" s="707"/>
      <c r="HJN35" s="707"/>
      <c r="HJO35" s="707"/>
      <c r="HJP35" s="707"/>
      <c r="HJQ35" s="707"/>
      <c r="HJR35" s="707"/>
      <c r="HJS35" s="707"/>
      <c r="HJT35" s="707"/>
      <c r="HJU35" s="707"/>
      <c r="HJV35" s="707"/>
      <c r="HJW35" s="707"/>
      <c r="HJX35" s="707"/>
      <c r="HJY35" s="707"/>
      <c r="HJZ35" s="707"/>
      <c r="HKA35" s="707"/>
      <c r="HKB35" s="707"/>
      <c r="HKC35" s="707"/>
      <c r="HKD35" s="707"/>
      <c r="HKE35" s="707"/>
      <c r="HKF35" s="707"/>
      <c r="HKG35" s="707"/>
      <c r="HKH35" s="707"/>
      <c r="HKI35" s="707"/>
      <c r="HKJ35" s="707"/>
      <c r="HKK35" s="707"/>
      <c r="HKL35" s="707"/>
      <c r="HKM35" s="707"/>
      <c r="HKN35" s="707"/>
      <c r="HKO35" s="707"/>
      <c r="HKP35" s="707"/>
      <c r="HKQ35" s="707"/>
      <c r="HKR35" s="707"/>
      <c r="HKS35" s="707"/>
      <c r="HKT35" s="707"/>
      <c r="HKU35" s="707"/>
      <c r="HKV35" s="707"/>
      <c r="HKW35" s="707"/>
      <c r="HKX35" s="707"/>
      <c r="HKY35" s="707"/>
      <c r="HKZ35" s="707"/>
      <c r="HLA35" s="707"/>
      <c r="HLB35" s="707"/>
      <c r="HLC35" s="707"/>
      <c r="HLD35" s="707"/>
      <c r="HLE35" s="707"/>
      <c r="HLF35" s="707"/>
      <c r="HLG35" s="707"/>
      <c r="HLH35" s="707"/>
      <c r="HLI35" s="707"/>
      <c r="HLJ35" s="707"/>
      <c r="HLK35" s="707"/>
      <c r="HLL35" s="707"/>
      <c r="HLM35" s="707"/>
      <c r="HLN35" s="707"/>
      <c r="HLO35" s="707"/>
      <c r="HLP35" s="707"/>
      <c r="HLQ35" s="707"/>
      <c r="HLR35" s="707"/>
      <c r="HLS35" s="707"/>
      <c r="HLT35" s="707"/>
      <c r="HLU35" s="707"/>
      <c r="HLV35" s="707"/>
      <c r="HLW35" s="707"/>
      <c r="HLX35" s="707"/>
      <c r="HLY35" s="707"/>
      <c r="HLZ35" s="707"/>
      <c r="HMA35" s="707"/>
      <c r="HMB35" s="707"/>
      <c r="HMC35" s="707"/>
      <c r="HMD35" s="707"/>
      <c r="HME35" s="707"/>
      <c r="HMF35" s="707"/>
      <c r="HMG35" s="707"/>
      <c r="HMH35" s="707"/>
      <c r="HMI35" s="707"/>
      <c r="HMJ35" s="707"/>
      <c r="HMK35" s="707"/>
      <c r="HML35" s="707"/>
      <c r="HMM35" s="707"/>
      <c r="HMN35" s="707"/>
      <c r="HMO35" s="707"/>
      <c r="HMP35" s="707"/>
      <c r="HMQ35" s="707"/>
      <c r="HMR35" s="707"/>
      <c r="HMS35" s="707"/>
      <c r="HMT35" s="707"/>
      <c r="HMU35" s="707"/>
      <c r="HMV35" s="707"/>
      <c r="HMW35" s="707"/>
      <c r="HMX35" s="707"/>
      <c r="HMY35" s="707"/>
      <c r="HMZ35" s="707"/>
      <c r="HNA35" s="707"/>
      <c r="HNB35" s="707"/>
      <c r="HNC35" s="707"/>
      <c r="HND35" s="707"/>
      <c r="HNE35" s="707"/>
      <c r="HNF35" s="707"/>
      <c r="HNG35" s="707"/>
      <c r="HNH35" s="707"/>
      <c r="HNI35" s="707"/>
      <c r="HNJ35" s="707"/>
      <c r="HNK35" s="707"/>
      <c r="HNL35" s="707"/>
      <c r="HNM35" s="707"/>
      <c r="HNN35" s="707"/>
      <c r="HNO35" s="707"/>
      <c r="HNP35" s="707"/>
      <c r="HNQ35" s="707"/>
      <c r="HNR35" s="707"/>
      <c r="HNS35" s="707"/>
      <c r="HNT35" s="707"/>
      <c r="HNU35" s="707"/>
      <c r="HNV35" s="707"/>
      <c r="HNW35" s="707"/>
      <c r="HNX35" s="707"/>
      <c r="HNY35" s="707"/>
      <c r="HNZ35" s="707"/>
      <c r="HOA35" s="707"/>
      <c r="HOB35" s="707"/>
      <c r="HOC35" s="707"/>
      <c r="HOD35" s="707"/>
      <c r="HOE35" s="707"/>
      <c r="HOF35" s="707"/>
      <c r="HOG35" s="707"/>
      <c r="HOH35" s="707"/>
      <c r="HOI35" s="707"/>
      <c r="HOJ35" s="707"/>
      <c r="HOK35" s="707"/>
      <c r="HOL35" s="707"/>
      <c r="HOM35" s="707"/>
      <c r="HON35" s="707"/>
      <c r="HOO35" s="707"/>
      <c r="HOP35" s="707"/>
      <c r="HOQ35" s="707"/>
      <c r="HOR35" s="707"/>
      <c r="HOS35" s="707"/>
      <c r="HOT35" s="707"/>
      <c r="HOU35" s="707"/>
      <c r="HOV35" s="707"/>
      <c r="HOW35" s="707"/>
      <c r="HOX35" s="707"/>
      <c r="HOY35" s="707"/>
      <c r="HOZ35" s="707"/>
      <c r="HPA35" s="707"/>
      <c r="HPB35" s="707"/>
      <c r="HPC35" s="707"/>
      <c r="HPD35" s="707"/>
      <c r="HPE35" s="707"/>
      <c r="HPF35" s="707"/>
      <c r="HPG35" s="707"/>
      <c r="HPH35" s="707"/>
      <c r="HPI35" s="707"/>
      <c r="HPJ35" s="707"/>
      <c r="HPK35" s="707"/>
      <c r="HPL35" s="707"/>
      <c r="HPM35" s="707"/>
      <c r="HPN35" s="707"/>
      <c r="HPO35" s="707"/>
      <c r="HPP35" s="707"/>
      <c r="HPQ35" s="707"/>
      <c r="HPR35" s="707"/>
      <c r="HPS35" s="707"/>
      <c r="HPT35" s="707"/>
      <c r="HPU35" s="707"/>
      <c r="HPV35" s="707"/>
      <c r="HPW35" s="707"/>
      <c r="HPX35" s="707"/>
      <c r="HPY35" s="707"/>
      <c r="HPZ35" s="707"/>
      <c r="HQA35" s="707"/>
      <c r="HQB35" s="707"/>
      <c r="HQC35" s="707"/>
      <c r="HQD35" s="707"/>
      <c r="HQE35" s="707"/>
      <c r="HQF35" s="707"/>
      <c r="HQG35" s="707"/>
      <c r="HQH35" s="707"/>
      <c r="HQI35" s="707"/>
      <c r="HQJ35" s="707"/>
      <c r="HQK35" s="707"/>
      <c r="HQL35" s="707"/>
      <c r="HQM35" s="707"/>
      <c r="HQN35" s="707"/>
      <c r="HQO35" s="707"/>
      <c r="HQP35" s="707"/>
      <c r="HQQ35" s="707"/>
      <c r="HQR35" s="707"/>
      <c r="HQS35" s="707"/>
      <c r="HQT35" s="707"/>
      <c r="HQU35" s="707"/>
      <c r="HQV35" s="707"/>
      <c r="HQW35" s="707"/>
      <c r="HQX35" s="707"/>
      <c r="HQY35" s="707"/>
      <c r="HQZ35" s="707"/>
      <c r="HRA35" s="707"/>
      <c r="HRB35" s="707"/>
      <c r="HRC35" s="707"/>
      <c r="HRD35" s="707"/>
      <c r="HRE35" s="707"/>
      <c r="HRF35" s="707"/>
      <c r="HRG35" s="707"/>
      <c r="HRH35" s="707"/>
      <c r="HRI35" s="707"/>
      <c r="HRJ35" s="707"/>
      <c r="HRK35" s="707"/>
      <c r="HRL35" s="707"/>
      <c r="HRM35" s="707"/>
      <c r="HRN35" s="707"/>
      <c r="HRO35" s="707"/>
      <c r="HRP35" s="707"/>
      <c r="HRQ35" s="707"/>
      <c r="HRR35" s="707"/>
      <c r="HRS35" s="707"/>
      <c r="HRT35" s="707"/>
      <c r="HRU35" s="707"/>
      <c r="HRV35" s="707"/>
      <c r="HRW35" s="707"/>
      <c r="HRX35" s="707"/>
      <c r="HRY35" s="707"/>
      <c r="HRZ35" s="707"/>
      <c r="HSA35" s="707"/>
      <c r="HSB35" s="707"/>
      <c r="HSC35" s="707"/>
      <c r="HSD35" s="707"/>
      <c r="HSE35" s="707"/>
      <c r="HSF35" s="707"/>
      <c r="HSG35" s="707"/>
      <c r="HSH35" s="707"/>
      <c r="HSI35" s="707"/>
      <c r="HSJ35" s="707"/>
      <c r="HSK35" s="707"/>
      <c r="HSL35" s="707"/>
      <c r="HSM35" s="707"/>
      <c r="HSN35" s="707"/>
      <c r="HSO35" s="707"/>
      <c r="HSP35" s="707"/>
      <c r="HSQ35" s="707"/>
      <c r="HSR35" s="707"/>
      <c r="HSS35" s="707"/>
      <c r="HST35" s="707"/>
      <c r="HSU35" s="707"/>
      <c r="HSV35" s="707"/>
      <c r="HSW35" s="707"/>
      <c r="HSX35" s="707"/>
      <c r="HSY35" s="707"/>
      <c r="HSZ35" s="707"/>
      <c r="HTA35" s="707"/>
      <c r="HTB35" s="707"/>
      <c r="HTC35" s="707"/>
      <c r="HTD35" s="707"/>
      <c r="HTE35" s="707"/>
      <c r="HTF35" s="707"/>
      <c r="HTG35" s="707"/>
      <c r="HTH35" s="707"/>
      <c r="HTI35" s="707"/>
      <c r="HTJ35" s="707"/>
      <c r="HTK35" s="707"/>
      <c r="HTL35" s="707"/>
      <c r="HTM35" s="707"/>
      <c r="HTN35" s="707"/>
      <c r="HTO35" s="707"/>
      <c r="HTP35" s="707"/>
      <c r="HTQ35" s="707"/>
      <c r="HTR35" s="707"/>
      <c r="HTS35" s="707"/>
      <c r="HTT35" s="707"/>
      <c r="HTU35" s="707"/>
      <c r="HTV35" s="707"/>
      <c r="HTW35" s="707"/>
      <c r="HTX35" s="707"/>
      <c r="HTY35" s="707"/>
      <c r="HTZ35" s="707"/>
      <c r="HUA35" s="707"/>
      <c r="HUB35" s="707"/>
      <c r="HUC35" s="707"/>
      <c r="HUD35" s="707"/>
      <c r="HUE35" s="707"/>
      <c r="HUF35" s="707"/>
      <c r="HUG35" s="707"/>
      <c r="HUH35" s="707"/>
      <c r="HUI35" s="707"/>
      <c r="HUJ35" s="707"/>
      <c r="HUK35" s="707"/>
      <c r="HUL35" s="707"/>
      <c r="HUM35" s="707"/>
      <c r="HUN35" s="707"/>
      <c r="HUO35" s="707"/>
      <c r="HUP35" s="707"/>
      <c r="HUQ35" s="707"/>
      <c r="HUR35" s="707"/>
      <c r="HUS35" s="707"/>
      <c r="HUT35" s="707"/>
      <c r="HUU35" s="707"/>
      <c r="HUV35" s="707"/>
      <c r="HUW35" s="707"/>
      <c r="HUX35" s="707"/>
      <c r="HUY35" s="707"/>
      <c r="HUZ35" s="707"/>
      <c r="HVA35" s="707"/>
      <c r="HVB35" s="707"/>
      <c r="HVC35" s="707"/>
      <c r="HVD35" s="707"/>
      <c r="HVE35" s="707"/>
      <c r="HVF35" s="707"/>
      <c r="HVG35" s="707"/>
      <c r="HVH35" s="707"/>
      <c r="HVI35" s="707"/>
      <c r="HVJ35" s="707"/>
      <c r="HVK35" s="707"/>
      <c r="HVL35" s="707"/>
      <c r="HVM35" s="707"/>
      <c r="HVN35" s="707"/>
      <c r="HVO35" s="707"/>
      <c r="HVP35" s="707"/>
      <c r="HVQ35" s="707"/>
      <c r="HVR35" s="707"/>
      <c r="HVS35" s="707"/>
      <c r="HVT35" s="707"/>
      <c r="HVU35" s="707"/>
      <c r="HVV35" s="707"/>
      <c r="HVW35" s="707"/>
      <c r="HVX35" s="707"/>
      <c r="HVY35" s="707"/>
      <c r="HVZ35" s="707"/>
      <c r="HWA35" s="707"/>
      <c r="HWB35" s="707"/>
      <c r="HWC35" s="707"/>
      <c r="HWD35" s="707"/>
      <c r="HWE35" s="707"/>
      <c r="HWF35" s="707"/>
      <c r="HWG35" s="707"/>
      <c r="HWH35" s="707"/>
      <c r="HWI35" s="707"/>
      <c r="HWJ35" s="707"/>
      <c r="HWK35" s="707"/>
      <c r="HWL35" s="707"/>
      <c r="HWM35" s="707"/>
      <c r="HWN35" s="707"/>
      <c r="HWO35" s="707"/>
      <c r="HWP35" s="707"/>
      <c r="HWQ35" s="707"/>
      <c r="HWR35" s="707"/>
      <c r="HWS35" s="707"/>
      <c r="HWT35" s="707"/>
      <c r="HWU35" s="707"/>
      <c r="HWV35" s="707"/>
      <c r="HWW35" s="707"/>
      <c r="HWX35" s="707"/>
      <c r="HWY35" s="707"/>
      <c r="HWZ35" s="707"/>
      <c r="HXA35" s="707"/>
      <c r="HXB35" s="707"/>
      <c r="HXC35" s="707"/>
      <c r="HXD35" s="707"/>
      <c r="HXE35" s="707"/>
      <c r="HXF35" s="707"/>
      <c r="HXG35" s="707"/>
      <c r="HXH35" s="707"/>
      <c r="HXI35" s="707"/>
      <c r="HXJ35" s="707"/>
      <c r="HXK35" s="707"/>
      <c r="HXL35" s="707"/>
      <c r="HXM35" s="707"/>
      <c r="HXN35" s="707"/>
      <c r="HXO35" s="707"/>
      <c r="HXP35" s="707"/>
      <c r="HXQ35" s="707"/>
      <c r="HXR35" s="707"/>
      <c r="HXS35" s="707"/>
      <c r="HXT35" s="707"/>
      <c r="HXU35" s="707"/>
      <c r="HXV35" s="707"/>
      <c r="HXW35" s="707"/>
      <c r="HXX35" s="707"/>
      <c r="HXY35" s="707"/>
      <c r="HXZ35" s="707"/>
      <c r="HYA35" s="707"/>
      <c r="HYB35" s="707"/>
      <c r="HYC35" s="707"/>
      <c r="HYD35" s="707"/>
      <c r="HYE35" s="707"/>
      <c r="HYF35" s="707"/>
      <c r="HYG35" s="707"/>
      <c r="HYH35" s="707"/>
      <c r="HYI35" s="707"/>
      <c r="HYJ35" s="707"/>
      <c r="HYK35" s="707"/>
      <c r="HYL35" s="707"/>
      <c r="HYM35" s="707"/>
      <c r="HYN35" s="707"/>
      <c r="HYO35" s="707"/>
      <c r="HYP35" s="707"/>
      <c r="HYQ35" s="707"/>
      <c r="HYR35" s="707"/>
      <c r="HYS35" s="707"/>
      <c r="HYT35" s="707"/>
      <c r="HYU35" s="707"/>
      <c r="HYV35" s="707"/>
      <c r="HYW35" s="707"/>
      <c r="HYX35" s="707"/>
      <c r="HYY35" s="707"/>
      <c r="HYZ35" s="707"/>
      <c r="HZA35" s="707"/>
      <c r="HZB35" s="707"/>
      <c r="HZC35" s="707"/>
      <c r="HZD35" s="707"/>
      <c r="HZE35" s="707"/>
      <c r="HZF35" s="707"/>
      <c r="HZG35" s="707"/>
      <c r="HZH35" s="707"/>
      <c r="HZI35" s="707"/>
      <c r="HZJ35" s="707"/>
      <c r="HZK35" s="707"/>
      <c r="HZL35" s="707"/>
      <c r="HZM35" s="707"/>
      <c r="HZN35" s="707"/>
      <c r="HZO35" s="707"/>
      <c r="HZP35" s="707"/>
      <c r="HZQ35" s="707"/>
      <c r="HZR35" s="707"/>
      <c r="HZS35" s="707"/>
      <c r="HZT35" s="707"/>
      <c r="HZU35" s="707"/>
      <c r="HZV35" s="707"/>
      <c r="HZW35" s="707"/>
      <c r="HZX35" s="707"/>
      <c r="HZY35" s="707"/>
      <c r="HZZ35" s="707"/>
      <c r="IAA35" s="707"/>
      <c r="IAB35" s="707"/>
      <c r="IAC35" s="707"/>
      <c r="IAD35" s="707"/>
      <c r="IAE35" s="707"/>
      <c r="IAF35" s="707"/>
      <c r="IAG35" s="707"/>
      <c r="IAH35" s="707"/>
      <c r="IAI35" s="707"/>
      <c r="IAJ35" s="707"/>
      <c r="IAK35" s="707"/>
      <c r="IAL35" s="707"/>
      <c r="IAM35" s="707"/>
      <c r="IAN35" s="707"/>
      <c r="IAO35" s="707"/>
      <c r="IAP35" s="707"/>
      <c r="IAQ35" s="707"/>
      <c r="IAR35" s="707"/>
      <c r="IAS35" s="707"/>
      <c r="IAT35" s="707"/>
      <c r="IAU35" s="707"/>
      <c r="IAV35" s="707"/>
      <c r="IAW35" s="707"/>
      <c r="IAX35" s="707"/>
      <c r="IAY35" s="707"/>
      <c r="IAZ35" s="707"/>
      <c r="IBA35" s="707"/>
      <c r="IBB35" s="707"/>
      <c r="IBC35" s="707"/>
      <c r="IBD35" s="707"/>
      <c r="IBE35" s="707"/>
      <c r="IBF35" s="707"/>
      <c r="IBG35" s="707"/>
      <c r="IBH35" s="707"/>
      <c r="IBI35" s="707"/>
      <c r="IBJ35" s="707"/>
      <c r="IBK35" s="707"/>
      <c r="IBL35" s="707"/>
      <c r="IBM35" s="707"/>
      <c r="IBN35" s="707"/>
      <c r="IBO35" s="707"/>
      <c r="IBP35" s="707"/>
      <c r="IBQ35" s="707"/>
      <c r="IBR35" s="707"/>
      <c r="IBS35" s="707"/>
      <c r="IBT35" s="707"/>
      <c r="IBU35" s="707"/>
      <c r="IBV35" s="707"/>
      <c r="IBW35" s="707"/>
      <c r="IBX35" s="707"/>
      <c r="IBY35" s="707"/>
      <c r="IBZ35" s="707"/>
      <c r="ICA35" s="707"/>
      <c r="ICB35" s="707"/>
      <c r="ICC35" s="707"/>
      <c r="ICD35" s="707"/>
      <c r="ICE35" s="707"/>
      <c r="ICF35" s="707"/>
      <c r="ICG35" s="707"/>
      <c r="ICH35" s="707"/>
      <c r="ICI35" s="707"/>
      <c r="ICJ35" s="707"/>
      <c r="ICK35" s="707"/>
      <c r="ICL35" s="707"/>
      <c r="ICM35" s="707"/>
      <c r="ICN35" s="707"/>
      <c r="ICO35" s="707"/>
      <c r="ICP35" s="707"/>
      <c r="ICQ35" s="707"/>
      <c r="ICR35" s="707"/>
      <c r="ICS35" s="707"/>
      <c r="ICT35" s="707"/>
      <c r="ICU35" s="707"/>
      <c r="ICV35" s="707"/>
      <c r="ICW35" s="707"/>
      <c r="ICX35" s="707"/>
      <c r="ICY35" s="707"/>
      <c r="ICZ35" s="707"/>
      <c r="IDA35" s="707"/>
      <c r="IDB35" s="707"/>
      <c r="IDC35" s="707"/>
      <c r="IDD35" s="707"/>
      <c r="IDE35" s="707"/>
      <c r="IDF35" s="707"/>
      <c r="IDG35" s="707"/>
      <c r="IDH35" s="707"/>
      <c r="IDI35" s="707"/>
      <c r="IDJ35" s="707"/>
      <c r="IDK35" s="707"/>
      <c r="IDL35" s="707"/>
      <c r="IDM35" s="707"/>
      <c r="IDN35" s="707"/>
      <c r="IDO35" s="707"/>
      <c r="IDP35" s="707"/>
      <c r="IDQ35" s="707"/>
      <c r="IDR35" s="707"/>
      <c r="IDS35" s="707"/>
      <c r="IDT35" s="707"/>
      <c r="IDU35" s="707"/>
      <c r="IDV35" s="707"/>
      <c r="IDW35" s="707"/>
      <c r="IDX35" s="707"/>
      <c r="IDY35" s="707"/>
      <c r="IDZ35" s="707"/>
      <c r="IEA35" s="707"/>
      <c r="IEB35" s="707"/>
      <c r="IEC35" s="707"/>
      <c r="IED35" s="707"/>
      <c r="IEE35" s="707"/>
      <c r="IEF35" s="707"/>
      <c r="IEG35" s="707"/>
      <c r="IEH35" s="707"/>
      <c r="IEI35" s="707"/>
      <c r="IEJ35" s="707"/>
      <c r="IEK35" s="707"/>
      <c r="IEL35" s="707"/>
      <c r="IEM35" s="707"/>
      <c r="IEN35" s="707"/>
      <c r="IEO35" s="707"/>
      <c r="IEP35" s="707"/>
      <c r="IEQ35" s="707"/>
      <c r="IER35" s="707"/>
      <c r="IES35" s="707"/>
      <c r="IET35" s="707"/>
      <c r="IEU35" s="707"/>
      <c r="IEV35" s="707"/>
      <c r="IEW35" s="707"/>
      <c r="IEX35" s="707"/>
      <c r="IEY35" s="707"/>
      <c r="IEZ35" s="707"/>
      <c r="IFA35" s="707"/>
      <c r="IFB35" s="707"/>
      <c r="IFC35" s="707"/>
      <c r="IFD35" s="707"/>
      <c r="IFE35" s="707"/>
      <c r="IFF35" s="707"/>
      <c r="IFG35" s="707"/>
      <c r="IFH35" s="707"/>
      <c r="IFI35" s="707"/>
      <c r="IFJ35" s="707"/>
      <c r="IFK35" s="707"/>
      <c r="IFL35" s="707"/>
      <c r="IFM35" s="707"/>
      <c r="IFN35" s="707"/>
      <c r="IFO35" s="707"/>
      <c r="IFP35" s="707"/>
      <c r="IFQ35" s="707"/>
      <c r="IFR35" s="707"/>
      <c r="IFS35" s="707"/>
      <c r="IFT35" s="707"/>
      <c r="IFU35" s="707"/>
      <c r="IFV35" s="707"/>
      <c r="IFW35" s="707"/>
      <c r="IFX35" s="707"/>
      <c r="IFY35" s="707"/>
      <c r="IFZ35" s="707"/>
      <c r="IGA35" s="707"/>
      <c r="IGB35" s="707"/>
      <c r="IGC35" s="707"/>
      <c r="IGD35" s="707"/>
      <c r="IGE35" s="707"/>
      <c r="IGF35" s="707"/>
      <c r="IGG35" s="707"/>
      <c r="IGH35" s="707"/>
      <c r="IGI35" s="707"/>
      <c r="IGJ35" s="707"/>
      <c r="IGK35" s="707"/>
      <c r="IGL35" s="707"/>
      <c r="IGM35" s="707"/>
      <c r="IGN35" s="707"/>
      <c r="IGO35" s="707"/>
      <c r="IGP35" s="707"/>
      <c r="IGQ35" s="707"/>
      <c r="IGR35" s="707"/>
      <c r="IGS35" s="707"/>
      <c r="IGT35" s="707"/>
      <c r="IGU35" s="707"/>
      <c r="IGV35" s="707"/>
      <c r="IGW35" s="707"/>
      <c r="IGX35" s="707"/>
      <c r="IGY35" s="707"/>
      <c r="IGZ35" s="707"/>
      <c r="IHA35" s="707"/>
      <c r="IHB35" s="707"/>
      <c r="IHC35" s="707"/>
      <c r="IHD35" s="707"/>
      <c r="IHE35" s="707"/>
      <c r="IHF35" s="707"/>
      <c r="IHG35" s="707"/>
      <c r="IHH35" s="707"/>
      <c r="IHI35" s="707"/>
      <c r="IHJ35" s="707"/>
      <c r="IHK35" s="707"/>
      <c r="IHL35" s="707"/>
      <c r="IHM35" s="707"/>
      <c r="IHN35" s="707"/>
      <c r="IHO35" s="707"/>
      <c r="IHP35" s="707"/>
      <c r="IHQ35" s="707"/>
      <c r="IHR35" s="707"/>
      <c r="IHS35" s="707"/>
      <c r="IHT35" s="707"/>
      <c r="IHU35" s="707"/>
      <c r="IHV35" s="707"/>
      <c r="IHW35" s="707"/>
      <c r="IHX35" s="707"/>
      <c r="IHY35" s="707"/>
      <c r="IHZ35" s="707"/>
      <c r="IIA35" s="707"/>
      <c r="IIB35" s="707"/>
      <c r="IIC35" s="707"/>
      <c r="IID35" s="707"/>
      <c r="IIE35" s="707"/>
      <c r="IIF35" s="707"/>
      <c r="IIG35" s="707"/>
      <c r="IIH35" s="707"/>
      <c r="III35" s="707"/>
      <c r="IIJ35" s="707"/>
      <c r="IIK35" s="707"/>
      <c r="IIL35" s="707"/>
      <c r="IIM35" s="707"/>
      <c r="IIN35" s="707"/>
      <c r="IIO35" s="707"/>
      <c r="IIP35" s="707"/>
      <c r="IIQ35" s="707"/>
      <c r="IIR35" s="707"/>
      <c r="IIS35" s="707"/>
      <c r="IIT35" s="707"/>
      <c r="IIU35" s="707"/>
      <c r="IIV35" s="707"/>
      <c r="IIW35" s="707"/>
      <c r="IIX35" s="707"/>
      <c r="IIY35" s="707"/>
      <c r="IIZ35" s="707"/>
      <c r="IJA35" s="707"/>
      <c r="IJB35" s="707"/>
      <c r="IJC35" s="707"/>
      <c r="IJD35" s="707"/>
      <c r="IJE35" s="707"/>
      <c r="IJF35" s="707"/>
      <c r="IJG35" s="707"/>
      <c r="IJH35" s="707"/>
      <c r="IJI35" s="707"/>
      <c r="IJJ35" s="707"/>
      <c r="IJK35" s="707"/>
      <c r="IJL35" s="707"/>
      <c r="IJM35" s="707"/>
      <c r="IJN35" s="707"/>
      <c r="IJO35" s="707"/>
      <c r="IJP35" s="707"/>
      <c r="IJQ35" s="707"/>
      <c r="IJR35" s="707"/>
      <c r="IJS35" s="707"/>
      <c r="IJT35" s="707"/>
      <c r="IJU35" s="707"/>
      <c r="IJV35" s="707"/>
      <c r="IJW35" s="707"/>
      <c r="IJX35" s="707"/>
      <c r="IJY35" s="707"/>
      <c r="IJZ35" s="707"/>
      <c r="IKA35" s="707"/>
      <c r="IKB35" s="707"/>
      <c r="IKC35" s="707"/>
      <c r="IKD35" s="707"/>
      <c r="IKE35" s="707"/>
      <c r="IKF35" s="707"/>
      <c r="IKG35" s="707"/>
      <c r="IKH35" s="707"/>
      <c r="IKI35" s="707"/>
      <c r="IKJ35" s="707"/>
      <c r="IKK35" s="707"/>
      <c r="IKL35" s="707"/>
      <c r="IKM35" s="707"/>
      <c r="IKN35" s="707"/>
      <c r="IKO35" s="707"/>
      <c r="IKP35" s="707"/>
      <c r="IKQ35" s="707"/>
      <c r="IKR35" s="707"/>
      <c r="IKS35" s="707"/>
      <c r="IKT35" s="707"/>
      <c r="IKU35" s="707"/>
      <c r="IKV35" s="707"/>
      <c r="IKW35" s="707"/>
      <c r="IKX35" s="707"/>
      <c r="IKY35" s="707"/>
      <c r="IKZ35" s="707"/>
      <c r="ILA35" s="707"/>
      <c r="ILB35" s="707"/>
      <c r="ILC35" s="707"/>
      <c r="ILD35" s="707"/>
      <c r="ILE35" s="707"/>
      <c r="ILF35" s="707"/>
      <c r="ILG35" s="707"/>
      <c r="ILH35" s="707"/>
      <c r="ILI35" s="707"/>
      <c r="ILJ35" s="707"/>
      <c r="ILK35" s="707"/>
      <c r="ILL35" s="707"/>
      <c r="ILM35" s="707"/>
      <c r="ILN35" s="707"/>
      <c r="ILO35" s="707"/>
      <c r="ILP35" s="707"/>
      <c r="ILQ35" s="707"/>
      <c r="ILR35" s="707"/>
      <c r="ILS35" s="707"/>
      <c r="ILT35" s="707"/>
      <c r="ILU35" s="707"/>
      <c r="ILV35" s="707"/>
      <c r="ILW35" s="707"/>
      <c r="ILX35" s="707"/>
      <c r="ILY35" s="707"/>
      <c r="ILZ35" s="707"/>
      <c r="IMA35" s="707"/>
      <c r="IMB35" s="707"/>
      <c r="IMC35" s="707"/>
      <c r="IMD35" s="707"/>
      <c r="IME35" s="707"/>
      <c r="IMF35" s="707"/>
      <c r="IMG35" s="707"/>
      <c r="IMH35" s="707"/>
      <c r="IMI35" s="707"/>
      <c r="IMJ35" s="707"/>
      <c r="IMK35" s="707"/>
      <c r="IML35" s="707"/>
      <c r="IMM35" s="707"/>
      <c r="IMN35" s="707"/>
      <c r="IMO35" s="707"/>
      <c r="IMP35" s="707"/>
      <c r="IMQ35" s="707"/>
      <c r="IMR35" s="707"/>
      <c r="IMS35" s="707"/>
      <c r="IMT35" s="707"/>
      <c r="IMU35" s="707"/>
      <c r="IMV35" s="707"/>
      <c r="IMW35" s="707"/>
      <c r="IMX35" s="707"/>
      <c r="IMY35" s="707"/>
      <c r="IMZ35" s="707"/>
      <c r="INA35" s="707"/>
      <c r="INB35" s="707"/>
      <c r="INC35" s="707"/>
      <c r="IND35" s="707"/>
      <c r="INE35" s="707"/>
      <c r="INF35" s="707"/>
      <c r="ING35" s="707"/>
      <c r="INH35" s="707"/>
      <c r="INI35" s="707"/>
      <c r="INJ35" s="707"/>
      <c r="INK35" s="707"/>
      <c r="INL35" s="707"/>
      <c r="INM35" s="707"/>
      <c r="INN35" s="707"/>
      <c r="INO35" s="707"/>
      <c r="INP35" s="707"/>
      <c r="INQ35" s="707"/>
      <c r="INR35" s="707"/>
      <c r="INS35" s="707"/>
      <c r="INT35" s="707"/>
      <c r="INU35" s="707"/>
      <c r="INV35" s="707"/>
      <c r="INW35" s="707"/>
      <c r="INX35" s="707"/>
      <c r="INY35" s="707"/>
      <c r="INZ35" s="707"/>
      <c r="IOA35" s="707"/>
      <c r="IOB35" s="707"/>
      <c r="IOC35" s="707"/>
      <c r="IOD35" s="707"/>
      <c r="IOE35" s="707"/>
      <c r="IOF35" s="707"/>
      <c r="IOG35" s="707"/>
      <c r="IOH35" s="707"/>
      <c r="IOI35" s="707"/>
      <c r="IOJ35" s="707"/>
      <c r="IOK35" s="707"/>
      <c r="IOL35" s="707"/>
      <c r="IOM35" s="707"/>
      <c r="ION35" s="707"/>
      <c r="IOO35" s="707"/>
      <c r="IOP35" s="707"/>
      <c r="IOQ35" s="707"/>
      <c r="IOR35" s="707"/>
      <c r="IOS35" s="707"/>
      <c r="IOT35" s="707"/>
      <c r="IOU35" s="707"/>
      <c r="IOV35" s="707"/>
      <c r="IOW35" s="707"/>
      <c r="IOX35" s="707"/>
      <c r="IOY35" s="707"/>
      <c r="IOZ35" s="707"/>
      <c r="IPA35" s="707"/>
      <c r="IPB35" s="707"/>
      <c r="IPC35" s="707"/>
      <c r="IPD35" s="707"/>
      <c r="IPE35" s="707"/>
      <c r="IPF35" s="707"/>
      <c r="IPG35" s="707"/>
      <c r="IPH35" s="707"/>
      <c r="IPI35" s="707"/>
      <c r="IPJ35" s="707"/>
      <c r="IPK35" s="707"/>
      <c r="IPL35" s="707"/>
      <c r="IPM35" s="707"/>
      <c r="IPN35" s="707"/>
      <c r="IPO35" s="707"/>
      <c r="IPP35" s="707"/>
      <c r="IPQ35" s="707"/>
      <c r="IPR35" s="707"/>
      <c r="IPS35" s="707"/>
      <c r="IPT35" s="707"/>
      <c r="IPU35" s="707"/>
      <c r="IPV35" s="707"/>
      <c r="IPW35" s="707"/>
      <c r="IPX35" s="707"/>
      <c r="IPY35" s="707"/>
      <c r="IPZ35" s="707"/>
      <c r="IQA35" s="707"/>
      <c r="IQB35" s="707"/>
      <c r="IQC35" s="707"/>
      <c r="IQD35" s="707"/>
      <c r="IQE35" s="707"/>
      <c r="IQF35" s="707"/>
      <c r="IQG35" s="707"/>
      <c r="IQH35" s="707"/>
      <c r="IQI35" s="707"/>
      <c r="IQJ35" s="707"/>
      <c r="IQK35" s="707"/>
      <c r="IQL35" s="707"/>
      <c r="IQM35" s="707"/>
      <c r="IQN35" s="707"/>
      <c r="IQO35" s="707"/>
      <c r="IQP35" s="707"/>
      <c r="IQQ35" s="707"/>
      <c r="IQR35" s="707"/>
      <c r="IQS35" s="707"/>
      <c r="IQT35" s="707"/>
      <c r="IQU35" s="707"/>
      <c r="IQV35" s="707"/>
      <c r="IQW35" s="707"/>
      <c r="IQX35" s="707"/>
      <c r="IQY35" s="707"/>
      <c r="IQZ35" s="707"/>
      <c r="IRA35" s="707"/>
      <c r="IRB35" s="707"/>
      <c r="IRC35" s="707"/>
      <c r="IRD35" s="707"/>
      <c r="IRE35" s="707"/>
      <c r="IRF35" s="707"/>
      <c r="IRG35" s="707"/>
      <c r="IRH35" s="707"/>
      <c r="IRI35" s="707"/>
      <c r="IRJ35" s="707"/>
      <c r="IRK35" s="707"/>
      <c r="IRL35" s="707"/>
      <c r="IRM35" s="707"/>
      <c r="IRN35" s="707"/>
      <c r="IRO35" s="707"/>
      <c r="IRP35" s="707"/>
      <c r="IRQ35" s="707"/>
      <c r="IRR35" s="707"/>
      <c r="IRS35" s="707"/>
      <c r="IRT35" s="707"/>
      <c r="IRU35" s="707"/>
      <c r="IRV35" s="707"/>
      <c r="IRW35" s="707"/>
      <c r="IRX35" s="707"/>
      <c r="IRY35" s="707"/>
      <c r="IRZ35" s="707"/>
      <c r="ISA35" s="707"/>
      <c r="ISB35" s="707"/>
      <c r="ISC35" s="707"/>
      <c r="ISD35" s="707"/>
      <c r="ISE35" s="707"/>
      <c r="ISF35" s="707"/>
      <c r="ISG35" s="707"/>
      <c r="ISH35" s="707"/>
      <c r="ISI35" s="707"/>
      <c r="ISJ35" s="707"/>
      <c r="ISK35" s="707"/>
      <c r="ISL35" s="707"/>
      <c r="ISM35" s="707"/>
      <c r="ISN35" s="707"/>
      <c r="ISO35" s="707"/>
      <c r="ISP35" s="707"/>
      <c r="ISQ35" s="707"/>
      <c r="ISR35" s="707"/>
      <c r="ISS35" s="707"/>
      <c r="IST35" s="707"/>
      <c r="ISU35" s="707"/>
      <c r="ISV35" s="707"/>
      <c r="ISW35" s="707"/>
      <c r="ISX35" s="707"/>
      <c r="ISY35" s="707"/>
      <c r="ISZ35" s="707"/>
      <c r="ITA35" s="707"/>
      <c r="ITB35" s="707"/>
      <c r="ITC35" s="707"/>
      <c r="ITD35" s="707"/>
      <c r="ITE35" s="707"/>
      <c r="ITF35" s="707"/>
      <c r="ITG35" s="707"/>
      <c r="ITH35" s="707"/>
      <c r="ITI35" s="707"/>
      <c r="ITJ35" s="707"/>
      <c r="ITK35" s="707"/>
      <c r="ITL35" s="707"/>
      <c r="ITM35" s="707"/>
      <c r="ITN35" s="707"/>
      <c r="ITO35" s="707"/>
      <c r="ITP35" s="707"/>
      <c r="ITQ35" s="707"/>
      <c r="ITR35" s="707"/>
      <c r="ITS35" s="707"/>
      <c r="ITT35" s="707"/>
      <c r="ITU35" s="707"/>
      <c r="ITV35" s="707"/>
      <c r="ITW35" s="707"/>
      <c r="ITX35" s="707"/>
      <c r="ITY35" s="707"/>
      <c r="ITZ35" s="707"/>
      <c r="IUA35" s="707"/>
      <c r="IUB35" s="707"/>
      <c r="IUC35" s="707"/>
      <c r="IUD35" s="707"/>
      <c r="IUE35" s="707"/>
      <c r="IUF35" s="707"/>
      <c r="IUG35" s="707"/>
      <c r="IUH35" s="707"/>
      <c r="IUI35" s="707"/>
      <c r="IUJ35" s="707"/>
      <c r="IUK35" s="707"/>
      <c r="IUL35" s="707"/>
      <c r="IUM35" s="707"/>
      <c r="IUN35" s="707"/>
      <c r="IUO35" s="707"/>
      <c r="IUP35" s="707"/>
      <c r="IUQ35" s="707"/>
      <c r="IUR35" s="707"/>
      <c r="IUS35" s="707"/>
      <c r="IUT35" s="707"/>
      <c r="IUU35" s="707"/>
      <c r="IUV35" s="707"/>
      <c r="IUW35" s="707"/>
      <c r="IUX35" s="707"/>
      <c r="IUY35" s="707"/>
      <c r="IUZ35" s="707"/>
      <c r="IVA35" s="707"/>
      <c r="IVB35" s="707"/>
      <c r="IVC35" s="707"/>
      <c r="IVD35" s="707"/>
      <c r="IVE35" s="707"/>
      <c r="IVF35" s="707"/>
      <c r="IVG35" s="707"/>
      <c r="IVH35" s="707"/>
      <c r="IVI35" s="707"/>
      <c r="IVJ35" s="707"/>
      <c r="IVK35" s="707"/>
      <c r="IVL35" s="707"/>
      <c r="IVM35" s="707"/>
      <c r="IVN35" s="707"/>
      <c r="IVO35" s="707"/>
      <c r="IVP35" s="707"/>
      <c r="IVQ35" s="707"/>
      <c r="IVR35" s="707"/>
      <c r="IVS35" s="707"/>
      <c r="IVT35" s="707"/>
      <c r="IVU35" s="707"/>
      <c r="IVV35" s="707"/>
      <c r="IVW35" s="707"/>
      <c r="IVX35" s="707"/>
      <c r="IVY35" s="707"/>
      <c r="IVZ35" s="707"/>
      <c r="IWA35" s="707"/>
      <c r="IWB35" s="707"/>
      <c r="IWC35" s="707"/>
      <c r="IWD35" s="707"/>
      <c r="IWE35" s="707"/>
      <c r="IWF35" s="707"/>
      <c r="IWG35" s="707"/>
      <c r="IWH35" s="707"/>
      <c r="IWI35" s="707"/>
      <c r="IWJ35" s="707"/>
      <c r="IWK35" s="707"/>
      <c r="IWL35" s="707"/>
      <c r="IWM35" s="707"/>
      <c r="IWN35" s="707"/>
      <c r="IWO35" s="707"/>
      <c r="IWP35" s="707"/>
      <c r="IWQ35" s="707"/>
      <c r="IWR35" s="707"/>
      <c r="IWS35" s="707"/>
      <c r="IWT35" s="707"/>
      <c r="IWU35" s="707"/>
      <c r="IWV35" s="707"/>
      <c r="IWW35" s="707"/>
      <c r="IWX35" s="707"/>
      <c r="IWY35" s="707"/>
      <c r="IWZ35" s="707"/>
      <c r="IXA35" s="707"/>
      <c r="IXB35" s="707"/>
      <c r="IXC35" s="707"/>
      <c r="IXD35" s="707"/>
      <c r="IXE35" s="707"/>
      <c r="IXF35" s="707"/>
      <c r="IXG35" s="707"/>
      <c r="IXH35" s="707"/>
      <c r="IXI35" s="707"/>
      <c r="IXJ35" s="707"/>
      <c r="IXK35" s="707"/>
      <c r="IXL35" s="707"/>
      <c r="IXM35" s="707"/>
      <c r="IXN35" s="707"/>
      <c r="IXO35" s="707"/>
      <c r="IXP35" s="707"/>
      <c r="IXQ35" s="707"/>
      <c r="IXR35" s="707"/>
      <c r="IXS35" s="707"/>
      <c r="IXT35" s="707"/>
      <c r="IXU35" s="707"/>
      <c r="IXV35" s="707"/>
      <c r="IXW35" s="707"/>
      <c r="IXX35" s="707"/>
      <c r="IXY35" s="707"/>
      <c r="IXZ35" s="707"/>
      <c r="IYA35" s="707"/>
      <c r="IYB35" s="707"/>
      <c r="IYC35" s="707"/>
      <c r="IYD35" s="707"/>
      <c r="IYE35" s="707"/>
      <c r="IYF35" s="707"/>
      <c r="IYG35" s="707"/>
      <c r="IYH35" s="707"/>
      <c r="IYI35" s="707"/>
      <c r="IYJ35" s="707"/>
      <c r="IYK35" s="707"/>
      <c r="IYL35" s="707"/>
      <c r="IYM35" s="707"/>
      <c r="IYN35" s="707"/>
      <c r="IYO35" s="707"/>
      <c r="IYP35" s="707"/>
      <c r="IYQ35" s="707"/>
      <c r="IYR35" s="707"/>
      <c r="IYS35" s="707"/>
      <c r="IYT35" s="707"/>
      <c r="IYU35" s="707"/>
      <c r="IYV35" s="707"/>
      <c r="IYW35" s="707"/>
      <c r="IYX35" s="707"/>
      <c r="IYY35" s="707"/>
      <c r="IYZ35" s="707"/>
      <c r="IZA35" s="707"/>
      <c r="IZB35" s="707"/>
      <c r="IZC35" s="707"/>
      <c r="IZD35" s="707"/>
      <c r="IZE35" s="707"/>
      <c r="IZF35" s="707"/>
      <c r="IZG35" s="707"/>
      <c r="IZH35" s="707"/>
      <c r="IZI35" s="707"/>
      <c r="IZJ35" s="707"/>
      <c r="IZK35" s="707"/>
      <c r="IZL35" s="707"/>
      <c r="IZM35" s="707"/>
      <c r="IZN35" s="707"/>
      <c r="IZO35" s="707"/>
      <c r="IZP35" s="707"/>
      <c r="IZQ35" s="707"/>
      <c r="IZR35" s="707"/>
      <c r="IZS35" s="707"/>
      <c r="IZT35" s="707"/>
      <c r="IZU35" s="707"/>
      <c r="IZV35" s="707"/>
      <c r="IZW35" s="707"/>
      <c r="IZX35" s="707"/>
      <c r="IZY35" s="707"/>
      <c r="IZZ35" s="707"/>
      <c r="JAA35" s="707"/>
      <c r="JAB35" s="707"/>
      <c r="JAC35" s="707"/>
      <c r="JAD35" s="707"/>
      <c r="JAE35" s="707"/>
      <c r="JAF35" s="707"/>
      <c r="JAG35" s="707"/>
      <c r="JAH35" s="707"/>
      <c r="JAI35" s="707"/>
      <c r="JAJ35" s="707"/>
      <c r="JAK35" s="707"/>
      <c r="JAL35" s="707"/>
      <c r="JAM35" s="707"/>
      <c r="JAN35" s="707"/>
      <c r="JAO35" s="707"/>
      <c r="JAP35" s="707"/>
      <c r="JAQ35" s="707"/>
      <c r="JAR35" s="707"/>
      <c r="JAS35" s="707"/>
      <c r="JAT35" s="707"/>
      <c r="JAU35" s="707"/>
      <c r="JAV35" s="707"/>
      <c r="JAW35" s="707"/>
      <c r="JAX35" s="707"/>
      <c r="JAY35" s="707"/>
      <c r="JAZ35" s="707"/>
      <c r="JBA35" s="707"/>
      <c r="JBB35" s="707"/>
      <c r="JBC35" s="707"/>
      <c r="JBD35" s="707"/>
      <c r="JBE35" s="707"/>
      <c r="JBF35" s="707"/>
      <c r="JBG35" s="707"/>
      <c r="JBH35" s="707"/>
      <c r="JBI35" s="707"/>
      <c r="JBJ35" s="707"/>
      <c r="JBK35" s="707"/>
      <c r="JBL35" s="707"/>
      <c r="JBM35" s="707"/>
      <c r="JBN35" s="707"/>
      <c r="JBO35" s="707"/>
      <c r="JBP35" s="707"/>
      <c r="JBQ35" s="707"/>
      <c r="JBR35" s="707"/>
      <c r="JBS35" s="707"/>
      <c r="JBT35" s="707"/>
      <c r="JBU35" s="707"/>
      <c r="JBV35" s="707"/>
      <c r="JBW35" s="707"/>
      <c r="JBX35" s="707"/>
      <c r="JBY35" s="707"/>
      <c r="JBZ35" s="707"/>
      <c r="JCA35" s="707"/>
      <c r="JCB35" s="707"/>
      <c r="JCC35" s="707"/>
      <c r="JCD35" s="707"/>
      <c r="JCE35" s="707"/>
      <c r="JCF35" s="707"/>
      <c r="JCG35" s="707"/>
      <c r="JCH35" s="707"/>
      <c r="JCI35" s="707"/>
      <c r="JCJ35" s="707"/>
      <c r="JCK35" s="707"/>
      <c r="JCL35" s="707"/>
      <c r="JCM35" s="707"/>
      <c r="JCN35" s="707"/>
      <c r="JCO35" s="707"/>
      <c r="JCP35" s="707"/>
      <c r="JCQ35" s="707"/>
      <c r="JCR35" s="707"/>
      <c r="JCS35" s="707"/>
      <c r="JCT35" s="707"/>
      <c r="JCU35" s="707"/>
      <c r="JCV35" s="707"/>
      <c r="JCW35" s="707"/>
      <c r="JCX35" s="707"/>
      <c r="JCY35" s="707"/>
      <c r="JCZ35" s="707"/>
      <c r="JDA35" s="707"/>
      <c r="JDB35" s="707"/>
      <c r="JDC35" s="707"/>
      <c r="JDD35" s="707"/>
      <c r="JDE35" s="707"/>
      <c r="JDF35" s="707"/>
      <c r="JDG35" s="707"/>
      <c r="JDH35" s="707"/>
      <c r="JDI35" s="707"/>
      <c r="JDJ35" s="707"/>
      <c r="JDK35" s="707"/>
      <c r="JDL35" s="707"/>
      <c r="JDM35" s="707"/>
      <c r="JDN35" s="707"/>
      <c r="JDO35" s="707"/>
      <c r="JDP35" s="707"/>
      <c r="JDQ35" s="707"/>
      <c r="JDR35" s="707"/>
      <c r="JDS35" s="707"/>
      <c r="JDT35" s="707"/>
      <c r="JDU35" s="707"/>
      <c r="JDV35" s="707"/>
      <c r="JDW35" s="707"/>
      <c r="JDX35" s="707"/>
      <c r="JDY35" s="707"/>
      <c r="JDZ35" s="707"/>
      <c r="JEA35" s="707"/>
      <c r="JEB35" s="707"/>
      <c r="JEC35" s="707"/>
      <c r="JED35" s="707"/>
      <c r="JEE35" s="707"/>
      <c r="JEF35" s="707"/>
      <c r="JEG35" s="707"/>
      <c r="JEH35" s="707"/>
      <c r="JEI35" s="707"/>
      <c r="JEJ35" s="707"/>
      <c r="JEK35" s="707"/>
      <c r="JEL35" s="707"/>
      <c r="JEM35" s="707"/>
      <c r="JEN35" s="707"/>
      <c r="JEO35" s="707"/>
      <c r="JEP35" s="707"/>
      <c r="JEQ35" s="707"/>
      <c r="JER35" s="707"/>
      <c r="JES35" s="707"/>
      <c r="JET35" s="707"/>
      <c r="JEU35" s="707"/>
      <c r="JEV35" s="707"/>
      <c r="JEW35" s="707"/>
      <c r="JEX35" s="707"/>
      <c r="JEY35" s="707"/>
      <c r="JEZ35" s="707"/>
      <c r="JFA35" s="707"/>
      <c r="JFB35" s="707"/>
      <c r="JFC35" s="707"/>
      <c r="JFD35" s="707"/>
      <c r="JFE35" s="707"/>
      <c r="JFF35" s="707"/>
      <c r="JFG35" s="707"/>
      <c r="JFH35" s="707"/>
      <c r="JFI35" s="707"/>
      <c r="JFJ35" s="707"/>
      <c r="JFK35" s="707"/>
      <c r="JFL35" s="707"/>
      <c r="JFM35" s="707"/>
      <c r="JFN35" s="707"/>
      <c r="JFO35" s="707"/>
      <c r="JFP35" s="707"/>
      <c r="JFQ35" s="707"/>
      <c r="JFR35" s="707"/>
      <c r="JFS35" s="707"/>
      <c r="JFT35" s="707"/>
      <c r="JFU35" s="707"/>
      <c r="JFV35" s="707"/>
      <c r="JFW35" s="707"/>
      <c r="JFX35" s="707"/>
      <c r="JFY35" s="707"/>
      <c r="JFZ35" s="707"/>
      <c r="JGA35" s="707"/>
      <c r="JGB35" s="707"/>
      <c r="JGC35" s="707"/>
      <c r="JGD35" s="707"/>
      <c r="JGE35" s="707"/>
      <c r="JGF35" s="707"/>
      <c r="JGG35" s="707"/>
      <c r="JGH35" s="707"/>
      <c r="JGI35" s="707"/>
      <c r="JGJ35" s="707"/>
      <c r="JGK35" s="707"/>
      <c r="JGL35" s="707"/>
      <c r="JGM35" s="707"/>
      <c r="JGN35" s="707"/>
      <c r="JGO35" s="707"/>
      <c r="JGP35" s="707"/>
      <c r="JGQ35" s="707"/>
      <c r="JGR35" s="707"/>
      <c r="JGS35" s="707"/>
      <c r="JGT35" s="707"/>
      <c r="JGU35" s="707"/>
      <c r="JGV35" s="707"/>
      <c r="JGW35" s="707"/>
      <c r="JGX35" s="707"/>
      <c r="JGY35" s="707"/>
      <c r="JGZ35" s="707"/>
      <c r="JHA35" s="707"/>
      <c r="JHB35" s="707"/>
      <c r="JHC35" s="707"/>
      <c r="JHD35" s="707"/>
      <c r="JHE35" s="707"/>
      <c r="JHF35" s="707"/>
      <c r="JHG35" s="707"/>
      <c r="JHH35" s="707"/>
      <c r="JHI35" s="707"/>
      <c r="JHJ35" s="707"/>
      <c r="JHK35" s="707"/>
      <c r="JHL35" s="707"/>
      <c r="JHM35" s="707"/>
      <c r="JHN35" s="707"/>
      <c r="JHO35" s="707"/>
      <c r="JHP35" s="707"/>
      <c r="JHQ35" s="707"/>
      <c r="JHR35" s="707"/>
      <c r="JHS35" s="707"/>
      <c r="JHT35" s="707"/>
      <c r="JHU35" s="707"/>
      <c r="JHV35" s="707"/>
      <c r="JHW35" s="707"/>
      <c r="JHX35" s="707"/>
      <c r="JHY35" s="707"/>
      <c r="JHZ35" s="707"/>
      <c r="JIA35" s="707"/>
      <c r="JIB35" s="707"/>
      <c r="JIC35" s="707"/>
      <c r="JID35" s="707"/>
      <c r="JIE35" s="707"/>
      <c r="JIF35" s="707"/>
      <c r="JIG35" s="707"/>
      <c r="JIH35" s="707"/>
      <c r="JII35" s="707"/>
      <c r="JIJ35" s="707"/>
      <c r="JIK35" s="707"/>
      <c r="JIL35" s="707"/>
      <c r="JIM35" s="707"/>
      <c r="JIN35" s="707"/>
      <c r="JIO35" s="707"/>
      <c r="JIP35" s="707"/>
      <c r="JIQ35" s="707"/>
      <c r="JIR35" s="707"/>
      <c r="JIS35" s="707"/>
      <c r="JIT35" s="707"/>
      <c r="JIU35" s="707"/>
      <c r="JIV35" s="707"/>
      <c r="JIW35" s="707"/>
      <c r="JIX35" s="707"/>
      <c r="JIY35" s="707"/>
      <c r="JIZ35" s="707"/>
      <c r="JJA35" s="707"/>
      <c r="JJB35" s="707"/>
      <c r="JJC35" s="707"/>
      <c r="JJD35" s="707"/>
      <c r="JJE35" s="707"/>
      <c r="JJF35" s="707"/>
      <c r="JJG35" s="707"/>
      <c r="JJH35" s="707"/>
      <c r="JJI35" s="707"/>
      <c r="JJJ35" s="707"/>
      <c r="JJK35" s="707"/>
      <c r="JJL35" s="707"/>
      <c r="JJM35" s="707"/>
      <c r="JJN35" s="707"/>
      <c r="JJO35" s="707"/>
      <c r="JJP35" s="707"/>
      <c r="JJQ35" s="707"/>
      <c r="JJR35" s="707"/>
      <c r="JJS35" s="707"/>
      <c r="JJT35" s="707"/>
      <c r="JJU35" s="707"/>
      <c r="JJV35" s="707"/>
      <c r="JJW35" s="707"/>
      <c r="JJX35" s="707"/>
      <c r="JJY35" s="707"/>
      <c r="JJZ35" s="707"/>
      <c r="JKA35" s="707"/>
      <c r="JKB35" s="707"/>
      <c r="JKC35" s="707"/>
      <c r="JKD35" s="707"/>
      <c r="JKE35" s="707"/>
      <c r="JKF35" s="707"/>
      <c r="JKG35" s="707"/>
      <c r="JKH35" s="707"/>
      <c r="JKI35" s="707"/>
      <c r="JKJ35" s="707"/>
      <c r="JKK35" s="707"/>
      <c r="JKL35" s="707"/>
      <c r="JKM35" s="707"/>
      <c r="JKN35" s="707"/>
      <c r="JKO35" s="707"/>
      <c r="JKP35" s="707"/>
      <c r="JKQ35" s="707"/>
      <c r="JKR35" s="707"/>
      <c r="JKS35" s="707"/>
      <c r="JKT35" s="707"/>
      <c r="JKU35" s="707"/>
      <c r="JKV35" s="707"/>
      <c r="JKW35" s="707"/>
      <c r="JKX35" s="707"/>
      <c r="JKY35" s="707"/>
      <c r="JKZ35" s="707"/>
      <c r="JLA35" s="707"/>
      <c r="JLB35" s="707"/>
      <c r="JLC35" s="707"/>
      <c r="JLD35" s="707"/>
      <c r="JLE35" s="707"/>
      <c r="JLF35" s="707"/>
      <c r="JLG35" s="707"/>
      <c r="JLH35" s="707"/>
      <c r="JLI35" s="707"/>
      <c r="JLJ35" s="707"/>
      <c r="JLK35" s="707"/>
      <c r="JLL35" s="707"/>
      <c r="JLM35" s="707"/>
      <c r="JLN35" s="707"/>
      <c r="JLO35" s="707"/>
      <c r="JLP35" s="707"/>
      <c r="JLQ35" s="707"/>
      <c r="JLR35" s="707"/>
      <c r="JLS35" s="707"/>
      <c r="JLT35" s="707"/>
      <c r="JLU35" s="707"/>
      <c r="JLV35" s="707"/>
      <c r="JLW35" s="707"/>
      <c r="JLX35" s="707"/>
      <c r="JLY35" s="707"/>
      <c r="JLZ35" s="707"/>
      <c r="JMA35" s="707"/>
      <c r="JMB35" s="707"/>
      <c r="JMC35" s="707"/>
      <c r="JMD35" s="707"/>
      <c r="JME35" s="707"/>
      <c r="JMF35" s="707"/>
      <c r="JMG35" s="707"/>
      <c r="JMH35" s="707"/>
      <c r="JMI35" s="707"/>
      <c r="JMJ35" s="707"/>
      <c r="JMK35" s="707"/>
      <c r="JML35" s="707"/>
      <c r="JMM35" s="707"/>
      <c r="JMN35" s="707"/>
      <c r="JMO35" s="707"/>
      <c r="JMP35" s="707"/>
      <c r="JMQ35" s="707"/>
      <c r="JMR35" s="707"/>
      <c r="JMS35" s="707"/>
      <c r="JMT35" s="707"/>
      <c r="JMU35" s="707"/>
      <c r="JMV35" s="707"/>
      <c r="JMW35" s="707"/>
      <c r="JMX35" s="707"/>
      <c r="JMY35" s="707"/>
      <c r="JMZ35" s="707"/>
      <c r="JNA35" s="707"/>
      <c r="JNB35" s="707"/>
      <c r="JNC35" s="707"/>
      <c r="JND35" s="707"/>
      <c r="JNE35" s="707"/>
      <c r="JNF35" s="707"/>
      <c r="JNG35" s="707"/>
      <c r="JNH35" s="707"/>
      <c r="JNI35" s="707"/>
      <c r="JNJ35" s="707"/>
      <c r="JNK35" s="707"/>
      <c r="JNL35" s="707"/>
      <c r="JNM35" s="707"/>
      <c r="JNN35" s="707"/>
      <c r="JNO35" s="707"/>
      <c r="JNP35" s="707"/>
      <c r="JNQ35" s="707"/>
      <c r="JNR35" s="707"/>
      <c r="JNS35" s="707"/>
      <c r="JNT35" s="707"/>
      <c r="JNU35" s="707"/>
      <c r="JNV35" s="707"/>
      <c r="JNW35" s="707"/>
      <c r="JNX35" s="707"/>
      <c r="JNY35" s="707"/>
      <c r="JNZ35" s="707"/>
      <c r="JOA35" s="707"/>
      <c r="JOB35" s="707"/>
      <c r="JOC35" s="707"/>
      <c r="JOD35" s="707"/>
      <c r="JOE35" s="707"/>
      <c r="JOF35" s="707"/>
      <c r="JOG35" s="707"/>
      <c r="JOH35" s="707"/>
      <c r="JOI35" s="707"/>
      <c r="JOJ35" s="707"/>
      <c r="JOK35" s="707"/>
      <c r="JOL35" s="707"/>
      <c r="JOM35" s="707"/>
      <c r="JON35" s="707"/>
      <c r="JOO35" s="707"/>
      <c r="JOP35" s="707"/>
      <c r="JOQ35" s="707"/>
      <c r="JOR35" s="707"/>
      <c r="JOS35" s="707"/>
      <c r="JOT35" s="707"/>
      <c r="JOU35" s="707"/>
      <c r="JOV35" s="707"/>
      <c r="JOW35" s="707"/>
      <c r="JOX35" s="707"/>
      <c r="JOY35" s="707"/>
      <c r="JOZ35" s="707"/>
      <c r="JPA35" s="707"/>
      <c r="JPB35" s="707"/>
      <c r="JPC35" s="707"/>
      <c r="JPD35" s="707"/>
      <c r="JPE35" s="707"/>
      <c r="JPF35" s="707"/>
      <c r="JPG35" s="707"/>
      <c r="JPH35" s="707"/>
      <c r="JPI35" s="707"/>
      <c r="JPJ35" s="707"/>
      <c r="JPK35" s="707"/>
      <c r="JPL35" s="707"/>
      <c r="JPM35" s="707"/>
      <c r="JPN35" s="707"/>
      <c r="JPO35" s="707"/>
      <c r="JPP35" s="707"/>
      <c r="JPQ35" s="707"/>
      <c r="JPR35" s="707"/>
      <c r="JPS35" s="707"/>
      <c r="JPT35" s="707"/>
      <c r="JPU35" s="707"/>
      <c r="JPV35" s="707"/>
      <c r="JPW35" s="707"/>
      <c r="JPX35" s="707"/>
      <c r="JPY35" s="707"/>
      <c r="JPZ35" s="707"/>
      <c r="JQA35" s="707"/>
      <c r="JQB35" s="707"/>
      <c r="JQC35" s="707"/>
      <c r="JQD35" s="707"/>
      <c r="JQE35" s="707"/>
      <c r="JQF35" s="707"/>
      <c r="JQG35" s="707"/>
      <c r="JQH35" s="707"/>
      <c r="JQI35" s="707"/>
      <c r="JQJ35" s="707"/>
      <c r="JQK35" s="707"/>
      <c r="JQL35" s="707"/>
      <c r="JQM35" s="707"/>
      <c r="JQN35" s="707"/>
      <c r="JQO35" s="707"/>
      <c r="JQP35" s="707"/>
      <c r="JQQ35" s="707"/>
      <c r="JQR35" s="707"/>
      <c r="JQS35" s="707"/>
      <c r="JQT35" s="707"/>
      <c r="JQU35" s="707"/>
      <c r="JQV35" s="707"/>
      <c r="JQW35" s="707"/>
      <c r="JQX35" s="707"/>
      <c r="JQY35" s="707"/>
      <c r="JQZ35" s="707"/>
      <c r="JRA35" s="707"/>
      <c r="JRB35" s="707"/>
      <c r="JRC35" s="707"/>
      <c r="JRD35" s="707"/>
      <c r="JRE35" s="707"/>
      <c r="JRF35" s="707"/>
      <c r="JRG35" s="707"/>
      <c r="JRH35" s="707"/>
      <c r="JRI35" s="707"/>
      <c r="JRJ35" s="707"/>
      <c r="JRK35" s="707"/>
      <c r="JRL35" s="707"/>
      <c r="JRM35" s="707"/>
      <c r="JRN35" s="707"/>
      <c r="JRO35" s="707"/>
      <c r="JRP35" s="707"/>
      <c r="JRQ35" s="707"/>
      <c r="JRR35" s="707"/>
      <c r="JRS35" s="707"/>
      <c r="JRT35" s="707"/>
      <c r="JRU35" s="707"/>
      <c r="JRV35" s="707"/>
      <c r="JRW35" s="707"/>
      <c r="JRX35" s="707"/>
      <c r="JRY35" s="707"/>
      <c r="JRZ35" s="707"/>
      <c r="JSA35" s="707"/>
      <c r="JSB35" s="707"/>
      <c r="JSC35" s="707"/>
      <c r="JSD35" s="707"/>
      <c r="JSE35" s="707"/>
      <c r="JSF35" s="707"/>
      <c r="JSG35" s="707"/>
      <c r="JSH35" s="707"/>
      <c r="JSI35" s="707"/>
      <c r="JSJ35" s="707"/>
      <c r="JSK35" s="707"/>
      <c r="JSL35" s="707"/>
      <c r="JSM35" s="707"/>
      <c r="JSN35" s="707"/>
      <c r="JSO35" s="707"/>
      <c r="JSP35" s="707"/>
      <c r="JSQ35" s="707"/>
      <c r="JSR35" s="707"/>
      <c r="JSS35" s="707"/>
      <c r="JST35" s="707"/>
      <c r="JSU35" s="707"/>
      <c r="JSV35" s="707"/>
      <c r="JSW35" s="707"/>
      <c r="JSX35" s="707"/>
      <c r="JSY35" s="707"/>
      <c r="JSZ35" s="707"/>
      <c r="JTA35" s="707"/>
      <c r="JTB35" s="707"/>
      <c r="JTC35" s="707"/>
      <c r="JTD35" s="707"/>
      <c r="JTE35" s="707"/>
      <c r="JTF35" s="707"/>
      <c r="JTG35" s="707"/>
      <c r="JTH35" s="707"/>
      <c r="JTI35" s="707"/>
      <c r="JTJ35" s="707"/>
      <c r="JTK35" s="707"/>
      <c r="JTL35" s="707"/>
      <c r="JTM35" s="707"/>
      <c r="JTN35" s="707"/>
      <c r="JTO35" s="707"/>
      <c r="JTP35" s="707"/>
      <c r="JTQ35" s="707"/>
      <c r="JTR35" s="707"/>
      <c r="JTS35" s="707"/>
      <c r="JTT35" s="707"/>
      <c r="JTU35" s="707"/>
      <c r="JTV35" s="707"/>
      <c r="JTW35" s="707"/>
      <c r="JTX35" s="707"/>
      <c r="JTY35" s="707"/>
      <c r="JTZ35" s="707"/>
      <c r="JUA35" s="707"/>
      <c r="JUB35" s="707"/>
      <c r="JUC35" s="707"/>
      <c r="JUD35" s="707"/>
      <c r="JUE35" s="707"/>
      <c r="JUF35" s="707"/>
      <c r="JUG35" s="707"/>
      <c r="JUH35" s="707"/>
      <c r="JUI35" s="707"/>
      <c r="JUJ35" s="707"/>
      <c r="JUK35" s="707"/>
      <c r="JUL35" s="707"/>
      <c r="JUM35" s="707"/>
      <c r="JUN35" s="707"/>
      <c r="JUO35" s="707"/>
      <c r="JUP35" s="707"/>
      <c r="JUQ35" s="707"/>
      <c r="JUR35" s="707"/>
      <c r="JUS35" s="707"/>
      <c r="JUT35" s="707"/>
      <c r="JUU35" s="707"/>
      <c r="JUV35" s="707"/>
      <c r="JUW35" s="707"/>
      <c r="JUX35" s="707"/>
      <c r="JUY35" s="707"/>
      <c r="JUZ35" s="707"/>
      <c r="JVA35" s="707"/>
      <c r="JVB35" s="707"/>
      <c r="JVC35" s="707"/>
      <c r="JVD35" s="707"/>
      <c r="JVE35" s="707"/>
      <c r="JVF35" s="707"/>
      <c r="JVG35" s="707"/>
      <c r="JVH35" s="707"/>
      <c r="JVI35" s="707"/>
      <c r="JVJ35" s="707"/>
      <c r="JVK35" s="707"/>
      <c r="JVL35" s="707"/>
      <c r="JVM35" s="707"/>
      <c r="JVN35" s="707"/>
      <c r="JVO35" s="707"/>
      <c r="JVP35" s="707"/>
      <c r="JVQ35" s="707"/>
      <c r="JVR35" s="707"/>
      <c r="JVS35" s="707"/>
      <c r="JVT35" s="707"/>
      <c r="JVU35" s="707"/>
      <c r="JVV35" s="707"/>
      <c r="JVW35" s="707"/>
      <c r="JVX35" s="707"/>
      <c r="JVY35" s="707"/>
      <c r="JVZ35" s="707"/>
      <c r="JWA35" s="707"/>
      <c r="JWB35" s="707"/>
      <c r="JWC35" s="707"/>
      <c r="JWD35" s="707"/>
      <c r="JWE35" s="707"/>
      <c r="JWF35" s="707"/>
      <c r="JWG35" s="707"/>
      <c r="JWH35" s="707"/>
      <c r="JWI35" s="707"/>
      <c r="JWJ35" s="707"/>
      <c r="JWK35" s="707"/>
      <c r="JWL35" s="707"/>
      <c r="JWM35" s="707"/>
      <c r="JWN35" s="707"/>
      <c r="JWO35" s="707"/>
      <c r="JWP35" s="707"/>
      <c r="JWQ35" s="707"/>
      <c r="JWR35" s="707"/>
      <c r="JWS35" s="707"/>
      <c r="JWT35" s="707"/>
      <c r="JWU35" s="707"/>
      <c r="JWV35" s="707"/>
      <c r="JWW35" s="707"/>
      <c r="JWX35" s="707"/>
      <c r="JWY35" s="707"/>
      <c r="JWZ35" s="707"/>
      <c r="JXA35" s="707"/>
      <c r="JXB35" s="707"/>
      <c r="JXC35" s="707"/>
      <c r="JXD35" s="707"/>
      <c r="JXE35" s="707"/>
      <c r="JXF35" s="707"/>
      <c r="JXG35" s="707"/>
      <c r="JXH35" s="707"/>
      <c r="JXI35" s="707"/>
      <c r="JXJ35" s="707"/>
      <c r="JXK35" s="707"/>
      <c r="JXL35" s="707"/>
      <c r="JXM35" s="707"/>
      <c r="JXN35" s="707"/>
      <c r="JXO35" s="707"/>
      <c r="JXP35" s="707"/>
      <c r="JXQ35" s="707"/>
      <c r="JXR35" s="707"/>
      <c r="JXS35" s="707"/>
      <c r="JXT35" s="707"/>
      <c r="JXU35" s="707"/>
      <c r="JXV35" s="707"/>
      <c r="JXW35" s="707"/>
      <c r="JXX35" s="707"/>
      <c r="JXY35" s="707"/>
      <c r="JXZ35" s="707"/>
      <c r="JYA35" s="707"/>
      <c r="JYB35" s="707"/>
      <c r="JYC35" s="707"/>
      <c r="JYD35" s="707"/>
      <c r="JYE35" s="707"/>
      <c r="JYF35" s="707"/>
      <c r="JYG35" s="707"/>
      <c r="JYH35" s="707"/>
      <c r="JYI35" s="707"/>
      <c r="JYJ35" s="707"/>
      <c r="JYK35" s="707"/>
      <c r="JYL35" s="707"/>
      <c r="JYM35" s="707"/>
      <c r="JYN35" s="707"/>
      <c r="JYO35" s="707"/>
      <c r="JYP35" s="707"/>
      <c r="JYQ35" s="707"/>
      <c r="JYR35" s="707"/>
      <c r="JYS35" s="707"/>
      <c r="JYT35" s="707"/>
      <c r="JYU35" s="707"/>
      <c r="JYV35" s="707"/>
      <c r="JYW35" s="707"/>
      <c r="JYX35" s="707"/>
      <c r="JYY35" s="707"/>
      <c r="JYZ35" s="707"/>
      <c r="JZA35" s="707"/>
      <c r="JZB35" s="707"/>
      <c r="JZC35" s="707"/>
      <c r="JZD35" s="707"/>
      <c r="JZE35" s="707"/>
      <c r="JZF35" s="707"/>
      <c r="JZG35" s="707"/>
      <c r="JZH35" s="707"/>
      <c r="JZI35" s="707"/>
      <c r="JZJ35" s="707"/>
      <c r="JZK35" s="707"/>
      <c r="JZL35" s="707"/>
      <c r="JZM35" s="707"/>
      <c r="JZN35" s="707"/>
      <c r="JZO35" s="707"/>
      <c r="JZP35" s="707"/>
      <c r="JZQ35" s="707"/>
      <c r="JZR35" s="707"/>
      <c r="JZS35" s="707"/>
      <c r="JZT35" s="707"/>
      <c r="JZU35" s="707"/>
      <c r="JZV35" s="707"/>
      <c r="JZW35" s="707"/>
      <c r="JZX35" s="707"/>
      <c r="JZY35" s="707"/>
      <c r="JZZ35" s="707"/>
      <c r="KAA35" s="707"/>
      <c r="KAB35" s="707"/>
      <c r="KAC35" s="707"/>
      <c r="KAD35" s="707"/>
      <c r="KAE35" s="707"/>
      <c r="KAF35" s="707"/>
      <c r="KAG35" s="707"/>
      <c r="KAH35" s="707"/>
      <c r="KAI35" s="707"/>
      <c r="KAJ35" s="707"/>
      <c r="KAK35" s="707"/>
      <c r="KAL35" s="707"/>
      <c r="KAM35" s="707"/>
      <c r="KAN35" s="707"/>
      <c r="KAO35" s="707"/>
      <c r="KAP35" s="707"/>
      <c r="KAQ35" s="707"/>
      <c r="KAR35" s="707"/>
      <c r="KAS35" s="707"/>
      <c r="KAT35" s="707"/>
      <c r="KAU35" s="707"/>
      <c r="KAV35" s="707"/>
      <c r="KAW35" s="707"/>
      <c r="KAX35" s="707"/>
      <c r="KAY35" s="707"/>
      <c r="KAZ35" s="707"/>
      <c r="KBA35" s="707"/>
      <c r="KBB35" s="707"/>
      <c r="KBC35" s="707"/>
      <c r="KBD35" s="707"/>
      <c r="KBE35" s="707"/>
      <c r="KBF35" s="707"/>
      <c r="KBG35" s="707"/>
      <c r="KBH35" s="707"/>
      <c r="KBI35" s="707"/>
      <c r="KBJ35" s="707"/>
      <c r="KBK35" s="707"/>
      <c r="KBL35" s="707"/>
      <c r="KBM35" s="707"/>
      <c r="KBN35" s="707"/>
      <c r="KBO35" s="707"/>
      <c r="KBP35" s="707"/>
      <c r="KBQ35" s="707"/>
      <c r="KBR35" s="707"/>
      <c r="KBS35" s="707"/>
      <c r="KBT35" s="707"/>
      <c r="KBU35" s="707"/>
      <c r="KBV35" s="707"/>
      <c r="KBW35" s="707"/>
      <c r="KBX35" s="707"/>
      <c r="KBY35" s="707"/>
      <c r="KBZ35" s="707"/>
      <c r="KCA35" s="707"/>
      <c r="KCB35" s="707"/>
      <c r="KCC35" s="707"/>
      <c r="KCD35" s="707"/>
      <c r="KCE35" s="707"/>
      <c r="KCF35" s="707"/>
      <c r="KCG35" s="707"/>
      <c r="KCH35" s="707"/>
      <c r="KCI35" s="707"/>
      <c r="KCJ35" s="707"/>
      <c r="KCK35" s="707"/>
      <c r="KCL35" s="707"/>
      <c r="KCM35" s="707"/>
      <c r="KCN35" s="707"/>
      <c r="KCO35" s="707"/>
      <c r="KCP35" s="707"/>
      <c r="KCQ35" s="707"/>
      <c r="KCR35" s="707"/>
      <c r="KCS35" s="707"/>
      <c r="KCT35" s="707"/>
      <c r="KCU35" s="707"/>
      <c r="KCV35" s="707"/>
      <c r="KCW35" s="707"/>
      <c r="KCX35" s="707"/>
      <c r="KCY35" s="707"/>
      <c r="KCZ35" s="707"/>
      <c r="KDA35" s="707"/>
      <c r="KDB35" s="707"/>
      <c r="KDC35" s="707"/>
      <c r="KDD35" s="707"/>
      <c r="KDE35" s="707"/>
      <c r="KDF35" s="707"/>
      <c r="KDG35" s="707"/>
      <c r="KDH35" s="707"/>
      <c r="KDI35" s="707"/>
      <c r="KDJ35" s="707"/>
      <c r="KDK35" s="707"/>
      <c r="KDL35" s="707"/>
      <c r="KDM35" s="707"/>
      <c r="KDN35" s="707"/>
      <c r="KDO35" s="707"/>
      <c r="KDP35" s="707"/>
      <c r="KDQ35" s="707"/>
      <c r="KDR35" s="707"/>
      <c r="KDS35" s="707"/>
      <c r="KDT35" s="707"/>
      <c r="KDU35" s="707"/>
      <c r="KDV35" s="707"/>
      <c r="KDW35" s="707"/>
      <c r="KDX35" s="707"/>
      <c r="KDY35" s="707"/>
      <c r="KDZ35" s="707"/>
      <c r="KEA35" s="707"/>
      <c r="KEB35" s="707"/>
      <c r="KEC35" s="707"/>
      <c r="KED35" s="707"/>
      <c r="KEE35" s="707"/>
      <c r="KEF35" s="707"/>
      <c r="KEG35" s="707"/>
      <c r="KEH35" s="707"/>
      <c r="KEI35" s="707"/>
      <c r="KEJ35" s="707"/>
      <c r="KEK35" s="707"/>
      <c r="KEL35" s="707"/>
      <c r="KEM35" s="707"/>
      <c r="KEN35" s="707"/>
      <c r="KEO35" s="707"/>
      <c r="KEP35" s="707"/>
      <c r="KEQ35" s="707"/>
      <c r="KER35" s="707"/>
      <c r="KES35" s="707"/>
      <c r="KET35" s="707"/>
      <c r="KEU35" s="707"/>
      <c r="KEV35" s="707"/>
      <c r="KEW35" s="707"/>
      <c r="KEX35" s="707"/>
      <c r="KEY35" s="707"/>
      <c r="KEZ35" s="707"/>
      <c r="KFA35" s="707"/>
      <c r="KFB35" s="707"/>
      <c r="KFC35" s="707"/>
      <c r="KFD35" s="707"/>
      <c r="KFE35" s="707"/>
      <c r="KFF35" s="707"/>
      <c r="KFG35" s="707"/>
      <c r="KFH35" s="707"/>
      <c r="KFI35" s="707"/>
      <c r="KFJ35" s="707"/>
      <c r="KFK35" s="707"/>
      <c r="KFL35" s="707"/>
      <c r="KFM35" s="707"/>
      <c r="KFN35" s="707"/>
      <c r="KFO35" s="707"/>
      <c r="KFP35" s="707"/>
      <c r="KFQ35" s="707"/>
      <c r="KFR35" s="707"/>
      <c r="KFS35" s="707"/>
      <c r="KFT35" s="707"/>
      <c r="KFU35" s="707"/>
      <c r="KFV35" s="707"/>
      <c r="KFW35" s="707"/>
      <c r="KFX35" s="707"/>
      <c r="KFY35" s="707"/>
      <c r="KFZ35" s="707"/>
      <c r="KGA35" s="707"/>
      <c r="KGB35" s="707"/>
      <c r="KGC35" s="707"/>
      <c r="KGD35" s="707"/>
      <c r="KGE35" s="707"/>
      <c r="KGF35" s="707"/>
      <c r="KGG35" s="707"/>
      <c r="KGH35" s="707"/>
      <c r="KGI35" s="707"/>
      <c r="KGJ35" s="707"/>
      <c r="KGK35" s="707"/>
      <c r="KGL35" s="707"/>
      <c r="KGM35" s="707"/>
      <c r="KGN35" s="707"/>
      <c r="KGO35" s="707"/>
      <c r="KGP35" s="707"/>
      <c r="KGQ35" s="707"/>
      <c r="KGR35" s="707"/>
      <c r="KGS35" s="707"/>
      <c r="KGT35" s="707"/>
      <c r="KGU35" s="707"/>
      <c r="KGV35" s="707"/>
      <c r="KGW35" s="707"/>
      <c r="KGX35" s="707"/>
      <c r="KGY35" s="707"/>
      <c r="KGZ35" s="707"/>
      <c r="KHA35" s="707"/>
      <c r="KHB35" s="707"/>
      <c r="KHC35" s="707"/>
      <c r="KHD35" s="707"/>
      <c r="KHE35" s="707"/>
      <c r="KHF35" s="707"/>
      <c r="KHG35" s="707"/>
      <c r="KHH35" s="707"/>
      <c r="KHI35" s="707"/>
      <c r="KHJ35" s="707"/>
      <c r="KHK35" s="707"/>
      <c r="KHL35" s="707"/>
      <c r="KHM35" s="707"/>
      <c r="KHN35" s="707"/>
      <c r="KHO35" s="707"/>
      <c r="KHP35" s="707"/>
      <c r="KHQ35" s="707"/>
      <c r="KHR35" s="707"/>
      <c r="KHS35" s="707"/>
      <c r="KHT35" s="707"/>
      <c r="KHU35" s="707"/>
      <c r="KHV35" s="707"/>
      <c r="KHW35" s="707"/>
      <c r="KHX35" s="707"/>
      <c r="KHY35" s="707"/>
      <c r="KHZ35" s="707"/>
      <c r="KIA35" s="707"/>
      <c r="KIB35" s="707"/>
      <c r="KIC35" s="707"/>
      <c r="KID35" s="707"/>
      <c r="KIE35" s="707"/>
      <c r="KIF35" s="707"/>
      <c r="KIG35" s="707"/>
      <c r="KIH35" s="707"/>
      <c r="KII35" s="707"/>
      <c r="KIJ35" s="707"/>
      <c r="KIK35" s="707"/>
      <c r="KIL35" s="707"/>
      <c r="KIM35" s="707"/>
      <c r="KIN35" s="707"/>
      <c r="KIO35" s="707"/>
      <c r="KIP35" s="707"/>
      <c r="KIQ35" s="707"/>
      <c r="KIR35" s="707"/>
      <c r="KIS35" s="707"/>
      <c r="KIT35" s="707"/>
      <c r="KIU35" s="707"/>
      <c r="KIV35" s="707"/>
      <c r="KIW35" s="707"/>
      <c r="KIX35" s="707"/>
      <c r="KIY35" s="707"/>
      <c r="KIZ35" s="707"/>
      <c r="KJA35" s="707"/>
      <c r="KJB35" s="707"/>
      <c r="KJC35" s="707"/>
      <c r="KJD35" s="707"/>
      <c r="KJE35" s="707"/>
      <c r="KJF35" s="707"/>
      <c r="KJG35" s="707"/>
      <c r="KJH35" s="707"/>
      <c r="KJI35" s="707"/>
      <c r="KJJ35" s="707"/>
      <c r="KJK35" s="707"/>
      <c r="KJL35" s="707"/>
      <c r="KJM35" s="707"/>
      <c r="KJN35" s="707"/>
      <c r="KJO35" s="707"/>
      <c r="KJP35" s="707"/>
      <c r="KJQ35" s="707"/>
      <c r="KJR35" s="707"/>
      <c r="KJS35" s="707"/>
      <c r="KJT35" s="707"/>
      <c r="KJU35" s="707"/>
      <c r="KJV35" s="707"/>
      <c r="KJW35" s="707"/>
      <c r="KJX35" s="707"/>
      <c r="KJY35" s="707"/>
      <c r="KJZ35" s="707"/>
      <c r="KKA35" s="707"/>
      <c r="KKB35" s="707"/>
      <c r="KKC35" s="707"/>
      <c r="KKD35" s="707"/>
      <c r="KKE35" s="707"/>
      <c r="KKF35" s="707"/>
      <c r="KKG35" s="707"/>
      <c r="KKH35" s="707"/>
      <c r="KKI35" s="707"/>
      <c r="KKJ35" s="707"/>
      <c r="KKK35" s="707"/>
      <c r="KKL35" s="707"/>
      <c r="KKM35" s="707"/>
      <c r="KKN35" s="707"/>
      <c r="KKO35" s="707"/>
      <c r="KKP35" s="707"/>
      <c r="KKQ35" s="707"/>
      <c r="KKR35" s="707"/>
      <c r="KKS35" s="707"/>
      <c r="KKT35" s="707"/>
      <c r="KKU35" s="707"/>
      <c r="KKV35" s="707"/>
      <c r="KKW35" s="707"/>
      <c r="KKX35" s="707"/>
      <c r="KKY35" s="707"/>
      <c r="KKZ35" s="707"/>
      <c r="KLA35" s="707"/>
      <c r="KLB35" s="707"/>
      <c r="KLC35" s="707"/>
      <c r="KLD35" s="707"/>
      <c r="KLE35" s="707"/>
      <c r="KLF35" s="707"/>
      <c r="KLG35" s="707"/>
      <c r="KLH35" s="707"/>
      <c r="KLI35" s="707"/>
      <c r="KLJ35" s="707"/>
      <c r="KLK35" s="707"/>
      <c r="KLL35" s="707"/>
      <c r="KLM35" s="707"/>
      <c r="KLN35" s="707"/>
      <c r="KLO35" s="707"/>
      <c r="KLP35" s="707"/>
      <c r="KLQ35" s="707"/>
      <c r="KLR35" s="707"/>
      <c r="KLS35" s="707"/>
      <c r="KLT35" s="707"/>
      <c r="KLU35" s="707"/>
      <c r="KLV35" s="707"/>
      <c r="KLW35" s="707"/>
      <c r="KLX35" s="707"/>
      <c r="KLY35" s="707"/>
      <c r="KLZ35" s="707"/>
      <c r="KMA35" s="707"/>
      <c r="KMB35" s="707"/>
      <c r="KMC35" s="707"/>
      <c r="KMD35" s="707"/>
      <c r="KME35" s="707"/>
      <c r="KMF35" s="707"/>
      <c r="KMG35" s="707"/>
      <c r="KMH35" s="707"/>
      <c r="KMI35" s="707"/>
      <c r="KMJ35" s="707"/>
      <c r="KMK35" s="707"/>
      <c r="KML35" s="707"/>
      <c r="KMM35" s="707"/>
      <c r="KMN35" s="707"/>
      <c r="KMO35" s="707"/>
      <c r="KMP35" s="707"/>
      <c r="KMQ35" s="707"/>
      <c r="KMR35" s="707"/>
      <c r="KMS35" s="707"/>
      <c r="KMT35" s="707"/>
      <c r="KMU35" s="707"/>
      <c r="KMV35" s="707"/>
      <c r="KMW35" s="707"/>
      <c r="KMX35" s="707"/>
      <c r="KMY35" s="707"/>
      <c r="KMZ35" s="707"/>
      <c r="KNA35" s="707"/>
      <c r="KNB35" s="707"/>
      <c r="KNC35" s="707"/>
      <c r="KND35" s="707"/>
      <c r="KNE35" s="707"/>
      <c r="KNF35" s="707"/>
      <c r="KNG35" s="707"/>
      <c r="KNH35" s="707"/>
      <c r="KNI35" s="707"/>
      <c r="KNJ35" s="707"/>
      <c r="KNK35" s="707"/>
      <c r="KNL35" s="707"/>
      <c r="KNM35" s="707"/>
      <c r="KNN35" s="707"/>
      <c r="KNO35" s="707"/>
      <c r="KNP35" s="707"/>
      <c r="KNQ35" s="707"/>
      <c r="KNR35" s="707"/>
      <c r="KNS35" s="707"/>
      <c r="KNT35" s="707"/>
      <c r="KNU35" s="707"/>
      <c r="KNV35" s="707"/>
      <c r="KNW35" s="707"/>
      <c r="KNX35" s="707"/>
      <c r="KNY35" s="707"/>
      <c r="KNZ35" s="707"/>
      <c r="KOA35" s="707"/>
      <c r="KOB35" s="707"/>
      <c r="KOC35" s="707"/>
      <c r="KOD35" s="707"/>
      <c r="KOE35" s="707"/>
      <c r="KOF35" s="707"/>
      <c r="KOG35" s="707"/>
      <c r="KOH35" s="707"/>
      <c r="KOI35" s="707"/>
      <c r="KOJ35" s="707"/>
      <c r="KOK35" s="707"/>
      <c r="KOL35" s="707"/>
      <c r="KOM35" s="707"/>
      <c r="KON35" s="707"/>
      <c r="KOO35" s="707"/>
      <c r="KOP35" s="707"/>
      <c r="KOQ35" s="707"/>
      <c r="KOR35" s="707"/>
      <c r="KOS35" s="707"/>
      <c r="KOT35" s="707"/>
      <c r="KOU35" s="707"/>
      <c r="KOV35" s="707"/>
      <c r="KOW35" s="707"/>
      <c r="KOX35" s="707"/>
      <c r="KOY35" s="707"/>
      <c r="KOZ35" s="707"/>
      <c r="KPA35" s="707"/>
      <c r="KPB35" s="707"/>
      <c r="KPC35" s="707"/>
      <c r="KPD35" s="707"/>
      <c r="KPE35" s="707"/>
      <c r="KPF35" s="707"/>
      <c r="KPG35" s="707"/>
      <c r="KPH35" s="707"/>
      <c r="KPI35" s="707"/>
      <c r="KPJ35" s="707"/>
      <c r="KPK35" s="707"/>
      <c r="KPL35" s="707"/>
      <c r="KPM35" s="707"/>
      <c r="KPN35" s="707"/>
      <c r="KPO35" s="707"/>
      <c r="KPP35" s="707"/>
      <c r="KPQ35" s="707"/>
      <c r="KPR35" s="707"/>
      <c r="KPS35" s="707"/>
      <c r="KPT35" s="707"/>
      <c r="KPU35" s="707"/>
      <c r="KPV35" s="707"/>
      <c r="KPW35" s="707"/>
      <c r="KPX35" s="707"/>
      <c r="KPY35" s="707"/>
      <c r="KPZ35" s="707"/>
      <c r="KQA35" s="707"/>
      <c r="KQB35" s="707"/>
      <c r="KQC35" s="707"/>
      <c r="KQD35" s="707"/>
      <c r="KQE35" s="707"/>
      <c r="KQF35" s="707"/>
      <c r="KQG35" s="707"/>
      <c r="KQH35" s="707"/>
      <c r="KQI35" s="707"/>
      <c r="KQJ35" s="707"/>
      <c r="KQK35" s="707"/>
      <c r="KQL35" s="707"/>
      <c r="KQM35" s="707"/>
      <c r="KQN35" s="707"/>
      <c r="KQO35" s="707"/>
      <c r="KQP35" s="707"/>
      <c r="KQQ35" s="707"/>
      <c r="KQR35" s="707"/>
      <c r="KQS35" s="707"/>
      <c r="KQT35" s="707"/>
      <c r="KQU35" s="707"/>
      <c r="KQV35" s="707"/>
      <c r="KQW35" s="707"/>
      <c r="KQX35" s="707"/>
      <c r="KQY35" s="707"/>
      <c r="KQZ35" s="707"/>
      <c r="KRA35" s="707"/>
      <c r="KRB35" s="707"/>
      <c r="KRC35" s="707"/>
      <c r="KRD35" s="707"/>
      <c r="KRE35" s="707"/>
      <c r="KRF35" s="707"/>
      <c r="KRG35" s="707"/>
      <c r="KRH35" s="707"/>
      <c r="KRI35" s="707"/>
      <c r="KRJ35" s="707"/>
      <c r="KRK35" s="707"/>
      <c r="KRL35" s="707"/>
      <c r="KRM35" s="707"/>
      <c r="KRN35" s="707"/>
      <c r="KRO35" s="707"/>
      <c r="KRP35" s="707"/>
      <c r="KRQ35" s="707"/>
      <c r="KRR35" s="707"/>
      <c r="KRS35" s="707"/>
      <c r="KRT35" s="707"/>
      <c r="KRU35" s="707"/>
      <c r="KRV35" s="707"/>
      <c r="KRW35" s="707"/>
      <c r="KRX35" s="707"/>
      <c r="KRY35" s="707"/>
      <c r="KRZ35" s="707"/>
      <c r="KSA35" s="707"/>
      <c r="KSB35" s="707"/>
      <c r="KSC35" s="707"/>
      <c r="KSD35" s="707"/>
      <c r="KSE35" s="707"/>
      <c r="KSF35" s="707"/>
      <c r="KSG35" s="707"/>
      <c r="KSH35" s="707"/>
      <c r="KSI35" s="707"/>
      <c r="KSJ35" s="707"/>
      <c r="KSK35" s="707"/>
      <c r="KSL35" s="707"/>
      <c r="KSM35" s="707"/>
      <c r="KSN35" s="707"/>
      <c r="KSO35" s="707"/>
      <c r="KSP35" s="707"/>
      <c r="KSQ35" s="707"/>
      <c r="KSR35" s="707"/>
      <c r="KSS35" s="707"/>
      <c r="KST35" s="707"/>
      <c r="KSU35" s="707"/>
      <c r="KSV35" s="707"/>
      <c r="KSW35" s="707"/>
      <c r="KSX35" s="707"/>
      <c r="KSY35" s="707"/>
      <c r="KSZ35" s="707"/>
      <c r="KTA35" s="707"/>
      <c r="KTB35" s="707"/>
      <c r="KTC35" s="707"/>
      <c r="KTD35" s="707"/>
      <c r="KTE35" s="707"/>
      <c r="KTF35" s="707"/>
      <c r="KTG35" s="707"/>
      <c r="KTH35" s="707"/>
      <c r="KTI35" s="707"/>
      <c r="KTJ35" s="707"/>
      <c r="KTK35" s="707"/>
      <c r="KTL35" s="707"/>
      <c r="KTM35" s="707"/>
      <c r="KTN35" s="707"/>
      <c r="KTO35" s="707"/>
      <c r="KTP35" s="707"/>
      <c r="KTQ35" s="707"/>
      <c r="KTR35" s="707"/>
      <c r="KTS35" s="707"/>
      <c r="KTT35" s="707"/>
      <c r="KTU35" s="707"/>
      <c r="KTV35" s="707"/>
      <c r="KTW35" s="707"/>
      <c r="KTX35" s="707"/>
      <c r="KTY35" s="707"/>
      <c r="KTZ35" s="707"/>
      <c r="KUA35" s="707"/>
      <c r="KUB35" s="707"/>
      <c r="KUC35" s="707"/>
      <c r="KUD35" s="707"/>
      <c r="KUE35" s="707"/>
      <c r="KUF35" s="707"/>
      <c r="KUG35" s="707"/>
      <c r="KUH35" s="707"/>
      <c r="KUI35" s="707"/>
      <c r="KUJ35" s="707"/>
      <c r="KUK35" s="707"/>
      <c r="KUL35" s="707"/>
      <c r="KUM35" s="707"/>
      <c r="KUN35" s="707"/>
      <c r="KUO35" s="707"/>
      <c r="KUP35" s="707"/>
      <c r="KUQ35" s="707"/>
      <c r="KUR35" s="707"/>
      <c r="KUS35" s="707"/>
      <c r="KUT35" s="707"/>
      <c r="KUU35" s="707"/>
      <c r="KUV35" s="707"/>
      <c r="KUW35" s="707"/>
      <c r="KUX35" s="707"/>
      <c r="KUY35" s="707"/>
      <c r="KUZ35" s="707"/>
      <c r="KVA35" s="707"/>
      <c r="KVB35" s="707"/>
      <c r="KVC35" s="707"/>
      <c r="KVD35" s="707"/>
      <c r="KVE35" s="707"/>
      <c r="KVF35" s="707"/>
      <c r="KVG35" s="707"/>
      <c r="KVH35" s="707"/>
      <c r="KVI35" s="707"/>
      <c r="KVJ35" s="707"/>
      <c r="KVK35" s="707"/>
      <c r="KVL35" s="707"/>
      <c r="KVM35" s="707"/>
      <c r="KVN35" s="707"/>
      <c r="KVO35" s="707"/>
      <c r="KVP35" s="707"/>
      <c r="KVQ35" s="707"/>
      <c r="KVR35" s="707"/>
      <c r="KVS35" s="707"/>
      <c r="KVT35" s="707"/>
      <c r="KVU35" s="707"/>
      <c r="KVV35" s="707"/>
      <c r="KVW35" s="707"/>
      <c r="KVX35" s="707"/>
      <c r="KVY35" s="707"/>
      <c r="KVZ35" s="707"/>
      <c r="KWA35" s="707"/>
      <c r="KWB35" s="707"/>
      <c r="KWC35" s="707"/>
      <c r="KWD35" s="707"/>
      <c r="KWE35" s="707"/>
      <c r="KWF35" s="707"/>
      <c r="KWG35" s="707"/>
      <c r="KWH35" s="707"/>
      <c r="KWI35" s="707"/>
      <c r="KWJ35" s="707"/>
      <c r="KWK35" s="707"/>
      <c r="KWL35" s="707"/>
      <c r="KWM35" s="707"/>
      <c r="KWN35" s="707"/>
      <c r="KWO35" s="707"/>
      <c r="KWP35" s="707"/>
      <c r="KWQ35" s="707"/>
      <c r="KWR35" s="707"/>
      <c r="KWS35" s="707"/>
      <c r="KWT35" s="707"/>
      <c r="KWU35" s="707"/>
      <c r="KWV35" s="707"/>
      <c r="KWW35" s="707"/>
      <c r="KWX35" s="707"/>
      <c r="KWY35" s="707"/>
      <c r="KWZ35" s="707"/>
      <c r="KXA35" s="707"/>
      <c r="KXB35" s="707"/>
      <c r="KXC35" s="707"/>
      <c r="KXD35" s="707"/>
      <c r="KXE35" s="707"/>
      <c r="KXF35" s="707"/>
      <c r="KXG35" s="707"/>
      <c r="KXH35" s="707"/>
      <c r="KXI35" s="707"/>
      <c r="KXJ35" s="707"/>
      <c r="KXK35" s="707"/>
      <c r="KXL35" s="707"/>
      <c r="KXM35" s="707"/>
      <c r="KXN35" s="707"/>
      <c r="KXO35" s="707"/>
      <c r="KXP35" s="707"/>
      <c r="KXQ35" s="707"/>
      <c r="KXR35" s="707"/>
      <c r="KXS35" s="707"/>
      <c r="KXT35" s="707"/>
      <c r="KXU35" s="707"/>
      <c r="KXV35" s="707"/>
      <c r="KXW35" s="707"/>
      <c r="KXX35" s="707"/>
      <c r="KXY35" s="707"/>
      <c r="KXZ35" s="707"/>
      <c r="KYA35" s="707"/>
      <c r="KYB35" s="707"/>
      <c r="KYC35" s="707"/>
      <c r="KYD35" s="707"/>
      <c r="KYE35" s="707"/>
      <c r="KYF35" s="707"/>
      <c r="KYG35" s="707"/>
      <c r="KYH35" s="707"/>
      <c r="KYI35" s="707"/>
      <c r="KYJ35" s="707"/>
      <c r="KYK35" s="707"/>
      <c r="KYL35" s="707"/>
      <c r="KYM35" s="707"/>
      <c r="KYN35" s="707"/>
      <c r="KYO35" s="707"/>
      <c r="KYP35" s="707"/>
      <c r="KYQ35" s="707"/>
      <c r="KYR35" s="707"/>
      <c r="KYS35" s="707"/>
      <c r="KYT35" s="707"/>
      <c r="KYU35" s="707"/>
      <c r="KYV35" s="707"/>
      <c r="KYW35" s="707"/>
      <c r="KYX35" s="707"/>
      <c r="KYY35" s="707"/>
      <c r="KYZ35" s="707"/>
      <c r="KZA35" s="707"/>
      <c r="KZB35" s="707"/>
      <c r="KZC35" s="707"/>
      <c r="KZD35" s="707"/>
      <c r="KZE35" s="707"/>
      <c r="KZF35" s="707"/>
      <c r="KZG35" s="707"/>
      <c r="KZH35" s="707"/>
      <c r="KZI35" s="707"/>
      <c r="KZJ35" s="707"/>
      <c r="KZK35" s="707"/>
      <c r="KZL35" s="707"/>
      <c r="KZM35" s="707"/>
      <c r="KZN35" s="707"/>
      <c r="KZO35" s="707"/>
      <c r="KZP35" s="707"/>
      <c r="KZQ35" s="707"/>
      <c r="KZR35" s="707"/>
      <c r="KZS35" s="707"/>
      <c r="KZT35" s="707"/>
      <c r="KZU35" s="707"/>
      <c r="KZV35" s="707"/>
      <c r="KZW35" s="707"/>
      <c r="KZX35" s="707"/>
      <c r="KZY35" s="707"/>
      <c r="KZZ35" s="707"/>
      <c r="LAA35" s="707"/>
      <c r="LAB35" s="707"/>
      <c r="LAC35" s="707"/>
      <c r="LAD35" s="707"/>
      <c r="LAE35" s="707"/>
      <c r="LAF35" s="707"/>
      <c r="LAG35" s="707"/>
      <c r="LAH35" s="707"/>
      <c r="LAI35" s="707"/>
      <c r="LAJ35" s="707"/>
      <c r="LAK35" s="707"/>
      <c r="LAL35" s="707"/>
      <c r="LAM35" s="707"/>
      <c r="LAN35" s="707"/>
      <c r="LAO35" s="707"/>
      <c r="LAP35" s="707"/>
      <c r="LAQ35" s="707"/>
      <c r="LAR35" s="707"/>
      <c r="LAS35" s="707"/>
      <c r="LAT35" s="707"/>
      <c r="LAU35" s="707"/>
      <c r="LAV35" s="707"/>
      <c r="LAW35" s="707"/>
      <c r="LAX35" s="707"/>
      <c r="LAY35" s="707"/>
      <c r="LAZ35" s="707"/>
      <c r="LBA35" s="707"/>
      <c r="LBB35" s="707"/>
      <c r="LBC35" s="707"/>
      <c r="LBD35" s="707"/>
      <c r="LBE35" s="707"/>
      <c r="LBF35" s="707"/>
      <c r="LBG35" s="707"/>
      <c r="LBH35" s="707"/>
      <c r="LBI35" s="707"/>
      <c r="LBJ35" s="707"/>
      <c r="LBK35" s="707"/>
      <c r="LBL35" s="707"/>
      <c r="LBM35" s="707"/>
      <c r="LBN35" s="707"/>
      <c r="LBO35" s="707"/>
      <c r="LBP35" s="707"/>
      <c r="LBQ35" s="707"/>
      <c r="LBR35" s="707"/>
      <c r="LBS35" s="707"/>
      <c r="LBT35" s="707"/>
      <c r="LBU35" s="707"/>
      <c r="LBV35" s="707"/>
      <c r="LBW35" s="707"/>
      <c r="LBX35" s="707"/>
      <c r="LBY35" s="707"/>
      <c r="LBZ35" s="707"/>
      <c r="LCA35" s="707"/>
      <c r="LCB35" s="707"/>
      <c r="LCC35" s="707"/>
      <c r="LCD35" s="707"/>
      <c r="LCE35" s="707"/>
      <c r="LCF35" s="707"/>
      <c r="LCG35" s="707"/>
      <c r="LCH35" s="707"/>
      <c r="LCI35" s="707"/>
      <c r="LCJ35" s="707"/>
      <c r="LCK35" s="707"/>
      <c r="LCL35" s="707"/>
      <c r="LCM35" s="707"/>
      <c r="LCN35" s="707"/>
      <c r="LCO35" s="707"/>
      <c r="LCP35" s="707"/>
      <c r="LCQ35" s="707"/>
      <c r="LCR35" s="707"/>
      <c r="LCS35" s="707"/>
      <c r="LCT35" s="707"/>
      <c r="LCU35" s="707"/>
      <c r="LCV35" s="707"/>
      <c r="LCW35" s="707"/>
      <c r="LCX35" s="707"/>
      <c r="LCY35" s="707"/>
      <c r="LCZ35" s="707"/>
      <c r="LDA35" s="707"/>
      <c r="LDB35" s="707"/>
      <c r="LDC35" s="707"/>
      <c r="LDD35" s="707"/>
      <c r="LDE35" s="707"/>
      <c r="LDF35" s="707"/>
      <c r="LDG35" s="707"/>
      <c r="LDH35" s="707"/>
      <c r="LDI35" s="707"/>
      <c r="LDJ35" s="707"/>
      <c r="LDK35" s="707"/>
      <c r="LDL35" s="707"/>
      <c r="LDM35" s="707"/>
      <c r="LDN35" s="707"/>
      <c r="LDO35" s="707"/>
      <c r="LDP35" s="707"/>
      <c r="LDQ35" s="707"/>
      <c r="LDR35" s="707"/>
      <c r="LDS35" s="707"/>
      <c r="LDT35" s="707"/>
      <c r="LDU35" s="707"/>
      <c r="LDV35" s="707"/>
      <c r="LDW35" s="707"/>
      <c r="LDX35" s="707"/>
      <c r="LDY35" s="707"/>
      <c r="LDZ35" s="707"/>
      <c r="LEA35" s="707"/>
      <c r="LEB35" s="707"/>
      <c r="LEC35" s="707"/>
      <c r="LED35" s="707"/>
      <c r="LEE35" s="707"/>
      <c r="LEF35" s="707"/>
      <c r="LEG35" s="707"/>
      <c r="LEH35" s="707"/>
      <c r="LEI35" s="707"/>
      <c r="LEJ35" s="707"/>
      <c r="LEK35" s="707"/>
      <c r="LEL35" s="707"/>
      <c r="LEM35" s="707"/>
      <c r="LEN35" s="707"/>
      <c r="LEO35" s="707"/>
      <c r="LEP35" s="707"/>
      <c r="LEQ35" s="707"/>
      <c r="LER35" s="707"/>
      <c r="LES35" s="707"/>
      <c r="LET35" s="707"/>
      <c r="LEU35" s="707"/>
      <c r="LEV35" s="707"/>
      <c r="LEW35" s="707"/>
      <c r="LEX35" s="707"/>
      <c r="LEY35" s="707"/>
      <c r="LEZ35" s="707"/>
      <c r="LFA35" s="707"/>
      <c r="LFB35" s="707"/>
      <c r="LFC35" s="707"/>
      <c r="LFD35" s="707"/>
      <c r="LFE35" s="707"/>
      <c r="LFF35" s="707"/>
      <c r="LFG35" s="707"/>
      <c r="LFH35" s="707"/>
      <c r="LFI35" s="707"/>
      <c r="LFJ35" s="707"/>
      <c r="LFK35" s="707"/>
      <c r="LFL35" s="707"/>
      <c r="LFM35" s="707"/>
      <c r="LFN35" s="707"/>
      <c r="LFO35" s="707"/>
      <c r="LFP35" s="707"/>
      <c r="LFQ35" s="707"/>
      <c r="LFR35" s="707"/>
      <c r="LFS35" s="707"/>
      <c r="LFT35" s="707"/>
      <c r="LFU35" s="707"/>
      <c r="LFV35" s="707"/>
      <c r="LFW35" s="707"/>
      <c r="LFX35" s="707"/>
      <c r="LFY35" s="707"/>
      <c r="LFZ35" s="707"/>
      <c r="LGA35" s="707"/>
      <c r="LGB35" s="707"/>
      <c r="LGC35" s="707"/>
      <c r="LGD35" s="707"/>
      <c r="LGE35" s="707"/>
      <c r="LGF35" s="707"/>
      <c r="LGG35" s="707"/>
      <c r="LGH35" s="707"/>
      <c r="LGI35" s="707"/>
      <c r="LGJ35" s="707"/>
      <c r="LGK35" s="707"/>
      <c r="LGL35" s="707"/>
      <c r="LGM35" s="707"/>
      <c r="LGN35" s="707"/>
      <c r="LGO35" s="707"/>
      <c r="LGP35" s="707"/>
      <c r="LGQ35" s="707"/>
      <c r="LGR35" s="707"/>
      <c r="LGS35" s="707"/>
      <c r="LGT35" s="707"/>
      <c r="LGU35" s="707"/>
      <c r="LGV35" s="707"/>
      <c r="LGW35" s="707"/>
      <c r="LGX35" s="707"/>
      <c r="LGY35" s="707"/>
      <c r="LGZ35" s="707"/>
      <c r="LHA35" s="707"/>
      <c r="LHB35" s="707"/>
      <c r="LHC35" s="707"/>
      <c r="LHD35" s="707"/>
      <c r="LHE35" s="707"/>
      <c r="LHF35" s="707"/>
      <c r="LHG35" s="707"/>
      <c r="LHH35" s="707"/>
      <c r="LHI35" s="707"/>
      <c r="LHJ35" s="707"/>
      <c r="LHK35" s="707"/>
      <c r="LHL35" s="707"/>
      <c r="LHM35" s="707"/>
      <c r="LHN35" s="707"/>
      <c r="LHO35" s="707"/>
      <c r="LHP35" s="707"/>
      <c r="LHQ35" s="707"/>
      <c r="LHR35" s="707"/>
      <c r="LHS35" s="707"/>
      <c r="LHT35" s="707"/>
      <c r="LHU35" s="707"/>
      <c r="LHV35" s="707"/>
      <c r="LHW35" s="707"/>
      <c r="LHX35" s="707"/>
      <c r="LHY35" s="707"/>
      <c r="LHZ35" s="707"/>
      <c r="LIA35" s="707"/>
      <c r="LIB35" s="707"/>
      <c r="LIC35" s="707"/>
      <c r="LID35" s="707"/>
      <c r="LIE35" s="707"/>
      <c r="LIF35" s="707"/>
      <c r="LIG35" s="707"/>
      <c r="LIH35" s="707"/>
      <c r="LII35" s="707"/>
      <c r="LIJ35" s="707"/>
      <c r="LIK35" s="707"/>
      <c r="LIL35" s="707"/>
      <c r="LIM35" s="707"/>
      <c r="LIN35" s="707"/>
      <c r="LIO35" s="707"/>
      <c r="LIP35" s="707"/>
      <c r="LIQ35" s="707"/>
      <c r="LIR35" s="707"/>
      <c r="LIS35" s="707"/>
      <c r="LIT35" s="707"/>
      <c r="LIU35" s="707"/>
      <c r="LIV35" s="707"/>
      <c r="LIW35" s="707"/>
      <c r="LIX35" s="707"/>
      <c r="LIY35" s="707"/>
      <c r="LIZ35" s="707"/>
      <c r="LJA35" s="707"/>
      <c r="LJB35" s="707"/>
      <c r="LJC35" s="707"/>
      <c r="LJD35" s="707"/>
      <c r="LJE35" s="707"/>
      <c r="LJF35" s="707"/>
      <c r="LJG35" s="707"/>
      <c r="LJH35" s="707"/>
      <c r="LJI35" s="707"/>
      <c r="LJJ35" s="707"/>
      <c r="LJK35" s="707"/>
      <c r="LJL35" s="707"/>
      <c r="LJM35" s="707"/>
      <c r="LJN35" s="707"/>
      <c r="LJO35" s="707"/>
      <c r="LJP35" s="707"/>
      <c r="LJQ35" s="707"/>
      <c r="LJR35" s="707"/>
      <c r="LJS35" s="707"/>
      <c r="LJT35" s="707"/>
      <c r="LJU35" s="707"/>
      <c r="LJV35" s="707"/>
      <c r="LJW35" s="707"/>
      <c r="LJX35" s="707"/>
      <c r="LJY35" s="707"/>
      <c r="LJZ35" s="707"/>
      <c r="LKA35" s="707"/>
      <c r="LKB35" s="707"/>
      <c r="LKC35" s="707"/>
      <c r="LKD35" s="707"/>
      <c r="LKE35" s="707"/>
      <c r="LKF35" s="707"/>
      <c r="LKG35" s="707"/>
      <c r="LKH35" s="707"/>
      <c r="LKI35" s="707"/>
      <c r="LKJ35" s="707"/>
      <c r="LKK35" s="707"/>
      <c r="LKL35" s="707"/>
      <c r="LKM35" s="707"/>
      <c r="LKN35" s="707"/>
      <c r="LKO35" s="707"/>
      <c r="LKP35" s="707"/>
      <c r="LKQ35" s="707"/>
      <c r="LKR35" s="707"/>
      <c r="LKS35" s="707"/>
      <c r="LKT35" s="707"/>
      <c r="LKU35" s="707"/>
      <c r="LKV35" s="707"/>
      <c r="LKW35" s="707"/>
      <c r="LKX35" s="707"/>
      <c r="LKY35" s="707"/>
      <c r="LKZ35" s="707"/>
      <c r="LLA35" s="707"/>
      <c r="LLB35" s="707"/>
      <c r="LLC35" s="707"/>
      <c r="LLD35" s="707"/>
      <c r="LLE35" s="707"/>
      <c r="LLF35" s="707"/>
      <c r="LLG35" s="707"/>
      <c r="LLH35" s="707"/>
      <c r="LLI35" s="707"/>
      <c r="LLJ35" s="707"/>
      <c r="LLK35" s="707"/>
      <c r="LLL35" s="707"/>
      <c r="LLM35" s="707"/>
      <c r="LLN35" s="707"/>
      <c r="LLO35" s="707"/>
      <c r="LLP35" s="707"/>
      <c r="LLQ35" s="707"/>
      <c r="LLR35" s="707"/>
      <c r="LLS35" s="707"/>
      <c r="LLT35" s="707"/>
      <c r="LLU35" s="707"/>
      <c r="LLV35" s="707"/>
      <c r="LLW35" s="707"/>
      <c r="LLX35" s="707"/>
      <c r="LLY35" s="707"/>
      <c r="LLZ35" s="707"/>
      <c r="LMA35" s="707"/>
      <c r="LMB35" s="707"/>
      <c r="LMC35" s="707"/>
      <c r="LMD35" s="707"/>
      <c r="LME35" s="707"/>
      <c r="LMF35" s="707"/>
      <c r="LMG35" s="707"/>
      <c r="LMH35" s="707"/>
      <c r="LMI35" s="707"/>
      <c r="LMJ35" s="707"/>
      <c r="LMK35" s="707"/>
      <c r="LML35" s="707"/>
      <c r="LMM35" s="707"/>
      <c r="LMN35" s="707"/>
      <c r="LMO35" s="707"/>
      <c r="LMP35" s="707"/>
      <c r="LMQ35" s="707"/>
      <c r="LMR35" s="707"/>
      <c r="LMS35" s="707"/>
      <c r="LMT35" s="707"/>
      <c r="LMU35" s="707"/>
      <c r="LMV35" s="707"/>
      <c r="LMW35" s="707"/>
      <c r="LMX35" s="707"/>
      <c r="LMY35" s="707"/>
      <c r="LMZ35" s="707"/>
      <c r="LNA35" s="707"/>
      <c r="LNB35" s="707"/>
      <c r="LNC35" s="707"/>
      <c r="LND35" s="707"/>
      <c r="LNE35" s="707"/>
      <c r="LNF35" s="707"/>
      <c r="LNG35" s="707"/>
      <c r="LNH35" s="707"/>
      <c r="LNI35" s="707"/>
      <c r="LNJ35" s="707"/>
      <c r="LNK35" s="707"/>
      <c r="LNL35" s="707"/>
      <c r="LNM35" s="707"/>
      <c r="LNN35" s="707"/>
      <c r="LNO35" s="707"/>
      <c r="LNP35" s="707"/>
      <c r="LNQ35" s="707"/>
      <c r="LNR35" s="707"/>
      <c r="LNS35" s="707"/>
      <c r="LNT35" s="707"/>
      <c r="LNU35" s="707"/>
      <c r="LNV35" s="707"/>
      <c r="LNW35" s="707"/>
      <c r="LNX35" s="707"/>
      <c r="LNY35" s="707"/>
      <c r="LNZ35" s="707"/>
      <c r="LOA35" s="707"/>
      <c r="LOB35" s="707"/>
      <c r="LOC35" s="707"/>
      <c r="LOD35" s="707"/>
      <c r="LOE35" s="707"/>
      <c r="LOF35" s="707"/>
      <c r="LOG35" s="707"/>
      <c r="LOH35" s="707"/>
      <c r="LOI35" s="707"/>
      <c r="LOJ35" s="707"/>
      <c r="LOK35" s="707"/>
      <c r="LOL35" s="707"/>
      <c r="LOM35" s="707"/>
      <c r="LON35" s="707"/>
      <c r="LOO35" s="707"/>
      <c r="LOP35" s="707"/>
      <c r="LOQ35" s="707"/>
      <c r="LOR35" s="707"/>
      <c r="LOS35" s="707"/>
      <c r="LOT35" s="707"/>
      <c r="LOU35" s="707"/>
      <c r="LOV35" s="707"/>
      <c r="LOW35" s="707"/>
      <c r="LOX35" s="707"/>
      <c r="LOY35" s="707"/>
      <c r="LOZ35" s="707"/>
      <c r="LPA35" s="707"/>
      <c r="LPB35" s="707"/>
      <c r="LPC35" s="707"/>
      <c r="LPD35" s="707"/>
      <c r="LPE35" s="707"/>
      <c r="LPF35" s="707"/>
      <c r="LPG35" s="707"/>
      <c r="LPH35" s="707"/>
      <c r="LPI35" s="707"/>
      <c r="LPJ35" s="707"/>
      <c r="LPK35" s="707"/>
      <c r="LPL35" s="707"/>
      <c r="LPM35" s="707"/>
      <c r="LPN35" s="707"/>
      <c r="LPO35" s="707"/>
      <c r="LPP35" s="707"/>
      <c r="LPQ35" s="707"/>
      <c r="LPR35" s="707"/>
      <c r="LPS35" s="707"/>
      <c r="LPT35" s="707"/>
      <c r="LPU35" s="707"/>
      <c r="LPV35" s="707"/>
      <c r="LPW35" s="707"/>
      <c r="LPX35" s="707"/>
      <c r="LPY35" s="707"/>
      <c r="LPZ35" s="707"/>
      <c r="LQA35" s="707"/>
      <c r="LQB35" s="707"/>
      <c r="LQC35" s="707"/>
      <c r="LQD35" s="707"/>
      <c r="LQE35" s="707"/>
      <c r="LQF35" s="707"/>
      <c r="LQG35" s="707"/>
      <c r="LQH35" s="707"/>
      <c r="LQI35" s="707"/>
      <c r="LQJ35" s="707"/>
      <c r="LQK35" s="707"/>
      <c r="LQL35" s="707"/>
      <c r="LQM35" s="707"/>
      <c r="LQN35" s="707"/>
      <c r="LQO35" s="707"/>
      <c r="LQP35" s="707"/>
      <c r="LQQ35" s="707"/>
      <c r="LQR35" s="707"/>
      <c r="LQS35" s="707"/>
      <c r="LQT35" s="707"/>
      <c r="LQU35" s="707"/>
      <c r="LQV35" s="707"/>
      <c r="LQW35" s="707"/>
      <c r="LQX35" s="707"/>
      <c r="LQY35" s="707"/>
      <c r="LQZ35" s="707"/>
      <c r="LRA35" s="707"/>
      <c r="LRB35" s="707"/>
      <c r="LRC35" s="707"/>
      <c r="LRD35" s="707"/>
      <c r="LRE35" s="707"/>
      <c r="LRF35" s="707"/>
      <c r="LRG35" s="707"/>
      <c r="LRH35" s="707"/>
      <c r="LRI35" s="707"/>
      <c r="LRJ35" s="707"/>
      <c r="LRK35" s="707"/>
      <c r="LRL35" s="707"/>
      <c r="LRM35" s="707"/>
      <c r="LRN35" s="707"/>
      <c r="LRO35" s="707"/>
      <c r="LRP35" s="707"/>
      <c r="LRQ35" s="707"/>
      <c r="LRR35" s="707"/>
      <c r="LRS35" s="707"/>
      <c r="LRT35" s="707"/>
      <c r="LRU35" s="707"/>
      <c r="LRV35" s="707"/>
      <c r="LRW35" s="707"/>
      <c r="LRX35" s="707"/>
      <c r="LRY35" s="707"/>
      <c r="LRZ35" s="707"/>
      <c r="LSA35" s="707"/>
      <c r="LSB35" s="707"/>
      <c r="LSC35" s="707"/>
      <c r="LSD35" s="707"/>
      <c r="LSE35" s="707"/>
      <c r="LSF35" s="707"/>
      <c r="LSG35" s="707"/>
      <c r="LSH35" s="707"/>
      <c r="LSI35" s="707"/>
      <c r="LSJ35" s="707"/>
      <c r="LSK35" s="707"/>
      <c r="LSL35" s="707"/>
      <c r="LSM35" s="707"/>
      <c r="LSN35" s="707"/>
      <c r="LSO35" s="707"/>
      <c r="LSP35" s="707"/>
      <c r="LSQ35" s="707"/>
      <c r="LSR35" s="707"/>
      <c r="LSS35" s="707"/>
      <c r="LST35" s="707"/>
      <c r="LSU35" s="707"/>
      <c r="LSV35" s="707"/>
      <c r="LSW35" s="707"/>
      <c r="LSX35" s="707"/>
      <c r="LSY35" s="707"/>
      <c r="LSZ35" s="707"/>
      <c r="LTA35" s="707"/>
      <c r="LTB35" s="707"/>
      <c r="LTC35" s="707"/>
      <c r="LTD35" s="707"/>
      <c r="LTE35" s="707"/>
      <c r="LTF35" s="707"/>
      <c r="LTG35" s="707"/>
      <c r="LTH35" s="707"/>
      <c r="LTI35" s="707"/>
      <c r="LTJ35" s="707"/>
      <c r="LTK35" s="707"/>
      <c r="LTL35" s="707"/>
      <c r="LTM35" s="707"/>
      <c r="LTN35" s="707"/>
      <c r="LTO35" s="707"/>
      <c r="LTP35" s="707"/>
      <c r="LTQ35" s="707"/>
      <c r="LTR35" s="707"/>
      <c r="LTS35" s="707"/>
      <c r="LTT35" s="707"/>
      <c r="LTU35" s="707"/>
      <c r="LTV35" s="707"/>
      <c r="LTW35" s="707"/>
      <c r="LTX35" s="707"/>
      <c r="LTY35" s="707"/>
      <c r="LTZ35" s="707"/>
      <c r="LUA35" s="707"/>
      <c r="LUB35" s="707"/>
      <c r="LUC35" s="707"/>
      <c r="LUD35" s="707"/>
      <c r="LUE35" s="707"/>
      <c r="LUF35" s="707"/>
      <c r="LUG35" s="707"/>
      <c r="LUH35" s="707"/>
      <c r="LUI35" s="707"/>
      <c r="LUJ35" s="707"/>
      <c r="LUK35" s="707"/>
      <c r="LUL35" s="707"/>
      <c r="LUM35" s="707"/>
      <c r="LUN35" s="707"/>
      <c r="LUO35" s="707"/>
      <c r="LUP35" s="707"/>
      <c r="LUQ35" s="707"/>
      <c r="LUR35" s="707"/>
      <c r="LUS35" s="707"/>
      <c r="LUT35" s="707"/>
      <c r="LUU35" s="707"/>
      <c r="LUV35" s="707"/>
      <c r="LUW35" s="707"/>
      <c r="LUX35" s="707"/>
      <c r="LUY35" s="707"/>
      <c r="LUZ35" s="707"/>
      <c r="LVA35" s="707"/>
      <c r="LVB35" s="707"/>
      <c r="LVC35" s="707"/>
      <c r="LVD35" s="707"/>
      <c r="LVE35" s="707"/>
      <c r="LVF35" s="707"/>
      <c r="LVG35" s="707"/>
      <c r="LVH35" s="707"/>
      <c r="LVI35" s="707"/>
      <c r="LVJ35" s="707"/>
      <c r="LVK35" s="707"/>
      <c r="LVL35" s="707"/>
      <c r="LVM35" s="707"/>
      <c r="LVN35" s="707"/>
      <c r="LVO35" s="707"/>
      <c r="LVP35" s="707"/>
      <c r="LVQ35" s="707"/>
      <c r="LVR35" s="707"/>
      <c r="LVS35" s="707"/>
      <c r="LVT35" s="707"/>
      <c r="LVU35" s="707"/>
      <c r="LVV35" s="707"/>
      <c r="LVW35" s="707"/>
      <c r="LVX35" s="707"/>
      <c r="LVY35" s="707"/>
      <c r="LVZ35" s="707"/>
      <c r="LWA35" s="707"/>
      <c r="LWB35" s="707"/>
      <c r="LWC35" s="707"/>
      <c r="LWD35" s="707"/>
      <c r="LWE35" s="707"/>
      <c r="LWF35" s="707"/>
      <c r="LWG35" s="707"/>
      <c r="LWH35" s="707"/>
      <c r="LWI35" s="707"/>
      <c r="LWJ35" s="707"/>
      <c r="LWK35" s="707"/>
      <c r="LWL35" s="707"/>
      <c r="LWM35" s="707"/>
      <c r="LWN35" s="707"/>
      <c r="LWO35" s="707"/>
      <c r="LWP35" s="707"/>
      <c r="LWQ35" s="707"/>
      <c r="LWR35" s="707"/>
      <c r="LWS35" s="707"/>
      <c r="LWT35" s="707"/>
      <c r="LWU35" s="707"/>
      <c r="LWV35" s="707"/>
      <c r="LWW35" s="707"/>
      <c r="LWX35" s="707"/>
      <c r="LWY35" s="707"/>
      <c r="LWZ35" s="707"/>
      <c r="LXA35" s="707"/>
      <c r="LXB35" s="707"/>
      <c r="LXC35" s="707"/>
      <c r="LXD35" s="707"/>
      <c r="LXE35" s="707"/>
      <c r="LXF35" s="707"/>
      <c r="LXG35" s="707"/>
      <c r="LXH35" s="707"/>
      <c r="LXI35" s="707"/>
      <c r="LXJ35" s="707"/>
      <c r="LXK35" s="707"/>
      <c r="LXL35" s="707"/>
      <c r="LXM35" s="707"/>
      <c r="LXN35" s="707"/>
      <c r="LXO35" s="707"/>
      <c r="LXP35" s="707"/>
      <c r="LXQ35" s="707"/>
      <c r="LXR35" s="707"/>
      <c r="LXS35" s="707"/>
      <c r="LXT35" s="707"/>
      <c r="LXU35" s="707"/>
      <c r="LXV35" s="707"/>
      <c r="LXW35" s="707"/>
      <c r="LXX35" s="707"/>
      <c r="LXY35" s="707"/>
      <c r="LXZ35" s="707"/>
      <c r="LYA35" s="707"/>
      <c r="LYB35" s="707"/>
      <c r="LYC35" s="707"/>
      <c r="LYD35" s="707"/>
      <c r="LYE35" s="707"/>
      <c r="LYF35" s="707"/>
      <c r="LYG35" s="707"/>
      <c r="LYH35" s="707"/>
      <c r="LYI35" s="707"/>
      <c r="LYJ35" s="707"/>
      <c r="LYK35" s="707"/>
      <c r="LYL35" s="707"/>
      <c r="LYM35" s="707"/>
      <c r="LYN35" s="707"/>
      <c r="LYO35" s="707"/>
      <c r="LYP35" s="707"/>
      <c r="LYQ35" s="707"/>
      <c r="LYR35" s="707"/>
      <c r="LYS35" s="707"/>
      <c r="LYT35" s="707"/>
      <c r="LYU35" s="707"/>
      <c r="LYV35" s="707"/>
      <c r="LYW35" s="707"/>
      <c r="LYX35" s="707"/>
      <c r="LYY35" s="707"/>
      <c r="LYZ35" s="707"/>
      <c r="LZA35" s="707"/>
      <c r="LZB35" s="707"/>
      <c r="LZC35" s="707"/>
      <c r="LZD35" s="707"/>
      <c r="LZE35" s="707"/>
      <c r="LZF35" s="707"/>
      <c r="LZG35" s="707"/>
      <c r="LZH35" s="707"/>
      <c r="LZI35" s="707"/>
      <c r="LZJ35" s="707"/>
      <c r="LZK35" s="707"/>
      <c r="LZL35" s="707"/>
      <c r="LZM35" s="707"/>
      <c r="LZN35" s="707"/>
      <c r="LZO35" s="707"/>
      <c r="LZP35" s="707"/>
      <c r="LZQ35" s="707"/>
      <c r="LZR35" s="707"/>
      <c r="LZS35" s="707"/>
      <c r="LZT35" s="707"/>
      <c r="LZU35" s="707"/>
      <c r="LZV35" s="707"/>
      <c r="LZW35" s="707"/>
      <c r="LZX35" s="707"/>
      <c r="LZY35" s="707"/>
      <c r="LZZ35" s="707"/>
      <c r="MAA35" s="707"/>
      <c r="MAB35" s="707"/>
      <c r="MAC35" s="707"/>
      <c r="MAD35" s="707"/>
      <c r="MAE35" s="707"/>
      <c r="MAF35" s="707"/>
      <c r="MAG35" s="707"/>
      <c r="MAH35" s="707"/>
      <c r="MAI35" s="707"/>
      <c r="MAJ35" s="707"/>
      <c r="MAK35" s="707"/>
      <c r="MAL35" s="707"/>
      <c r="MAM35" s="707"/>
      <c r="MAN35" s="707"/>
      <c r="MAO35" s="707"/>
      <c r="MAP35" s="707"/>
      <c r="MAQ35" s="707"/>
      <c r="MAR35" s="707"/>
      <c r="MAS35" s="707"/>
      <c r="MAT35" s="707"/>
      <c r="MAU35" s="707"/>
      <c r="MAV35" s="707"/>
      <c r="MAW35" s="707"/>
      <c r="MAX35" s="707"/>
      <c r="MAY35" s="707"/>
      <c r="MAZ35" s="707"/>
      <c r="MBA35" s="707"/>
      <c r="MBB35" s="707"/>
      <c r="MBC35" s="707"/>
      <c r="MBD35" s="707"/>
      <c r="MBE35" s="707"/>
      <c r="MBF35" s="707"/>
      <c r="MBG35" s="707"/>
      <c r="MBH35" s="707"/>
      <c r="MBI35" s="707"/>
      <c r="MBJ35" s="707"/>
      <c r="MBK35" s="707"/>
      <c r="MBL35" s="707"/>
      <c r="MBM35" s="707"/>
      <c r="MBN35" s="707"/>
      <c r="MBO35" s="707"/>
      <c r="MBP35" s="707"/>
      <c r="MBQ35" s="707"/>
      <c r="MBR35" s="707"/>
      <c r="MBS35" s="707"/>
      <c r="MBT35" s="707"/>
      <c r="MBU35" s="707"/>
      <c r="MBV35" s="707"/>
      <c r="MBW35" s="707"/>
      <c r="MBX35" s="707"/>
      <c r="MBY35" s="707"/>
      <c r="MBZ35" s="707"/>
      <c r="MCA35" s="707"/>
      <c r="MCB35" s="707"/>
      <c r="MCC35" s="707"/>
      <c r="MCD35" s="707"/>
      <c r="MCE35" s="707"/>
      <c r="MCF35" s="707"/>
      <c r="MCG35" s="707"/>
      <c r="MCH35" s="707"/>
      <c r="MCI35" s="707"/>
      <c r="MCJ35" s="707"/>
      <c r="MCK35" s="707"/>
      <c r="MCL35" s="707"/>
      <c r="MCM35" s="707"/>
      <c r="MCN35" s="707"/>
      <c r="MCO35" s="707"/>
      <c r="MCP35" s="707"/>
      <c r="MCQ35" s="707"/>
      <c r="MCR35" s="707"/>
      <c r="MCS35" s="707"/>
      <c r="MCT35" s="707"/>
      <c r="MCU35" s="707"/>
      <c r="MCV35" s="707"/>
      <c r="MCW35" s="707"/>
      <c r="MCX35" s="707"/>
      <c r="MCY35" s="707"/>
      <c r="MCZ35" s="707"/>
      <c r="MDA35" s="707"/>
      <c r="MDB35" s="707"/>
      <c r="MDC35" s="707"/>
      <c r="MDD35" s="707"/>
      <c r="MDE35" s="707"/>
      <c r="MDF35" s="707"/>
      <c r="MDG35" s="707"/>
      <c r="MDH35" s="707"/>
      <c r="MDI35" s="707"/>
      <c r="MDJ35" s="707"/>
      <c r="MDK35" s="707"/>
      <c r="MDL35" s="707"/>
      <c r="MDM35" s="707"/>
      <c r="MDN35" s="707"/>
      <c r="MDO35" s="707"/>
      <c r="MDP35" s="707"/>
      <c r="MDQ35" s="707"/>
      <c r="MDR35" s="707"/>
      <c r="MDS35" s="707"/>
      <c r="MDT35" s="707"/>
      <c r="MDU35" s="707"/>
      <c r="MDV35" s="707"/>
      <c r="MDW35" s="707"/>
      <c r="MDX35" s="707"/>
      <c r="MDY35" s="707"/>
      <c r="MDZ35" s="707"/>
      <c r="MEA35" s="707"/>
      <c r="MEB35" s="707"/>
      <c r="MEC35" s="707"/>
      <c r="MED35" s="707"/>
      <c r="MEE35" s="707"/>
      <c r="MEF35" s="707"/>
      <c r="MEG35" s="707"/>
      <c r="MEH35" s="707"/>
      <c r="MEI35" s="707"/>
      <c r="MEJ35" s="707"/>
      <c r="MEK35" s="707"/>
      <c r="MEL35" s="707"/>
      <c r="MEM35" s="707"/>
      <c r="MEN35" s="707"/>
      <c r="MEO35" s="707"/>
      <c r="MEP35" s="707"/>
      <c r="MEQ35" s="707"/>
      <c r="MER35" s="707"/>
      <c r="MES35" s="707"/>
      <c r="MET35" s="707"/>
      <c r="MEU35" s="707"/>
      <c r="MEV35" s="707"/>
      <c r="MEW35" s="707"/>
      <c r="MEX35" s="707"/>
      <c r="MEY35" s="707"/>
      <c r="MEZ35" s="707"/>
      <c r="MFA35" s="707"/>
      <c r="MFB35" s="707"/>
      <c r="MFC35" s="707"/>
      <c r="MFD35" s="707"/>
      <c r="MFE35" s="707"/>
      <c r="MFF35" s="707"/>
      <c r="MFG35" s="707"/>
      <c r="MFH35" s="707"/>
      <c r="MFI35" s="707"/>
      <c r="MFJ35" s="707"/>
      <c r="MFK35" s="707"/>
      <c r="MFL35" s="707"/>
      <c r="MFM35" s="707"/>
      <c r="MFN35" s="707"/>
      <c r="MFO35" s="707"/>
      <c r="MFP35" s="707"/>
      <c r="MFQ35" s="707"/>
      <c r="MFR35" s="707"/>
      <c r="MFS35" s="707"/>
      <c r="MFT35" s="707"/>
      <c r="MFU35" s="707"/>
      <c r="MFV35" s="707"/>
      <c r="MFW35" s="707"/>
      <c r="MFX35" s="707"/>
      <c r="MFY35" s="707"/>
      <c r="MFZ35" s="707"/>
      <c r="MGA35" s="707"/>
      <c r="MGB35" s="707"/>
      <c r="MGC35" s="707"/>
      <c r="MGD35" s="707"/>
      <c r="MGE35" s="707"/>
      <c r="MGF35" s="707"/>
      <c r="MGG35" s="707"/>
      <c r="MGH35" s="707"/>
      <c r="MGI35" s="707"/>
      <c r="MGJ35" s="707"/>
      <c r="MGK35" s="707"/>
      <c r="MGL35" s="707"/>
      <c r="MGM35" s="707"/>
      <c r="MGN35" s="707"/>
      <c r="MGO35" s="707"/>
      <c r="MGP35" s="707"/>
      <c r="MGQ35" s="707"/>
      <c r="MGR35" s="707"/>
      <c r="MGS35" s="707"/>
      <c r="MGT35" s="707"/>
      <c r="MGU35" s="707"/>
      <c r="MGV35" s="707"/>
      <c r="MGW35" s="707"/>
      <c r="MGX35" s="707"/>
      <c r="MGY35" s="707"/>
      <c r="MGZ35" s="707"/>
      <c r="MHA35" s="707"/>
      <c r="MHB35" s="707"/>
      <c r="MHC35" s="707"/>
      <c r="MHD35" s="707"/>
      <c r="MHE35" s="707"/>
      <c r="MHF35" s="707"/>
      <c r="MHG35" s="707"/>
      <c r="MHH35" s="707"/>
      <c r="MHI35" s="707"/>
      <c r="MHJ35" s="707"/>
      <c r="MHK35" s="707"/>
      <c r="MHL35" s="707"/>
      <c r="MHM35" s="707"/>
      <c r="MHN35" s="707"/>
      <c r="MHO35" s="707"/>
      <c r="MHP35" s="707"/>
      <c r="MHQ35" s="707"/>
      <c r="MHR35" s="707"/>
      <c r="MHS35" s="707"/>
      <c r="MHT35" s="707"/>
      <c r="MHU35" s="707"/>
      <c r="MHV35" s="707"/>
      <c r="MHW35" s="707"/>
      <c r="MHX35" s="707"/>
      <c r="MHY35" s="707"/>
      <c r="MHZ35" s="707"/>
      <c r="MIA35" s="707"/>
      <c r="MIB35" s="707"/>
      <c r="MIC35" s="707"/>
      <c r="MID35" s="707"/>
      <c r="MIE35" s="707"/>
      <c r="MIF35" s="707"/>
      <c r="MIG35" s="707"/>
      <c r="MIH35" s="707"/>
      <c r="MII35" s="707"/>
      <c r="MIJ35" s="707"/>
      <c r="MIK35" s="707"/>
      <c r="MIL35" s="707"/>
      <c r="MIM35" s="707"/>
      <c r="MIN35" s="707"/>
      <c r="MIO35" s="707"/>
      <c r="MIP35" s="707"/>
      <c r="MIQ35" s="707"/>
      <c r="MIR35" s="707"/>
      <c r="MIS35" s="707"/>
      <c r="MIT35" s="707"/>
      <c r="MIU35" s="707"/>
      <c r="MIV35" s="707"/>
      <c r="MIW35" s="707"/>
      <c r="MIX35" s="707"/>
      <c r="MIY35" s="707"/>
      <c r="MIZ35" s="707"/>
      <c r="MJA35" s="707"/>
      <c r="MJB35" s="707"/>
      <c r="MJC35" s="707"/>
      <c r="MJD35" s="707"/>
      <c r="MJE35" s="707"/>
      <c r="MJF35" s="707"/>
      <c r="MJG35" s="707"/>
      <c r="MJH35" s="707"/>
      <c r="MJI35" s="707"/>
      <c r="MJJ35" s="707"/>
      <c r="MJK35" s="707"/>
      <c r="MJL35" s="707"/>
      <c r="MJM35" s="707"/>
      <c r="MJN35" s="707"/>
      <c r="MJO35" s="707"/>
      <c r="MJP35" s="707"/>
      <c r="MJQ35" s="707"/>
      <c r="MJR35" s="707"/>
      <c r="MJS35" s="707"/>
      <c r="MJT35" s="707"/>
      <c r="MJU35" s="707"/>
      <c r="MJV35" s="707"/>
      <c r="MJW35" s="707"/>
      <c r="MJX35" s="707"/>
      <c r="MJY35" s="707"/>
      <c r="MJZ35" s="707"/>
      <c r="MKA35" s="707"/>
      <c r="MKB35" s="707"/>
      <c r="MKC35" s="707"/>
      <c r="MKD35" s="707"/>
      <c r="MKE35" s="707"/>
      <c r="MKF35" s="707"/>
      <c r="MKG35" s="707"/>
      <c r="MKH35" s="707"/>
      <c r="MKI35" s="707"/>
      <c r="MKJ35" s="707"/>
      <c r="MKK35" s="707"/>
      <c r="MKL35" s="707"/>
      <c r="MKM35" s="707"/>
      <c r="MKN35" s="707"/>
      <c r="MKO35" s="707"/>
      <c r="MKP35" s="707"/>
      <c r="MKQ35" s="707"/>
      <c r="MKR35" s="707"/>
      <c r="MKS35" s="707"/>
      <c r="MKT35" s="707"/>
      <c r="MKU35" s="707"/>
      <c r="MKV35" s="707"/>
      <c r="MKW35" s="707"/>
      <c r="MKX35" s="707"/>
      <c r="MKY35" s="707"/>
      <c r="MKZ35" s="707"/>
      <c r="MLA35" s="707"/>
      <c r="MLB35" s="707"/>
      <c r="MLC35" s="707"/>
      <c r="MLD35" s="707"/>
      <c r="MLE35" s="707"/>
      <c r="MLF35" s="707"/>
      <c r="MLG35" s="707"/>
      <c r="MLH35" s="707"/>
      <c r="MLI35" s="707"/>
      <c r="MLJ35" s="707"/>
      <c r="MLK35" s="707"/>
      <c r="MLL35" s="707"/>
      <c r="MLM35" s="707"/>
      <c r="MLN35" s="707"/>
      <c r="MLO35" s="707"/>
      <c r="MLP35" s="707"/>
      <c r="MLQ35" s="707"/>
      <c r="MLR35" s="707"/>
      <c r="MLS35" s="707"/>
      <c r="MLT35" s="707"/>
      <c r="MLU35" s="707"/>
      <c r="MLV35" s="707"/>
      <c r="MLW35" s="707"/>
      <c r="MLX35" s="707"/>
      <c r="MLY35" s="707"/>
      <c r="MLZ35" s="707"/>
      <c r="MMA35" s="707"/>
      <c r="MMB35" s="707"/>
      <c r="MMC35" s="707"/>
      <c r="MMD35" s="707"/>
      <c r="MME35" s="707"/>
      <c r="MMF35" s="707"/>
      <c r="MMG35" s="707"/>
      <c r="MMH35" s="707"/>
      <c r="MMI35" s="707"/>
      <c r="MMJ35" s="707"/>
      <c r="MMK35" s="707"/>
      <c r="MML35" s="707"/>
      <c r="MMM35" s="707"/>
      <c r="MMN35" s="707"/>
      <c r="MMO35" s="707"/>
      <c r="MMP35" s="707"/>
      <c r="MMQ35" s="707"/>
      <c r="MMR35" s="707"/>
      <c r="MMS35" s="707"/>
      <c r="MMT35" s="707"/>
      <c r="MMU35" s="707"/>
      <c r="MMV35" s="707"/>
      <c r="MMW35" s="707"/>
      <c r="MMX35" s="707"/>
      <c r="MMY35" s="707"/>
      <c r="MMZ35" s="707"/>
      <c r="MNA35" s="707"/>
      <c r="MNB35" s="707"/>
      <c r="MNC35" s="707"/>
      <c r="MND35" s="707"/>
      <c r="MNE35" s="707"/>
      <c r="MNF35" s="707"/>
      <c r="MNG35" s="707"/>
      <c r="MNH35" s="707"/>
      <c r="MNI35" s="707"/>
      <c r="MNJ35" s="707"/>
      <c r="MNK35" s="707"/>
      <c r="MNL35" s="707"/>
      <c r="MNM35" s="707"/>
      <c r="MNN35" s="707"/>
      <c r="MNO35" s="707"/>
      <c r="MNP35" s="707"/>
      <c r="MNQ35" s="707"/>
      <c r="MNR35" s="707"/>
      <c r="MNS35" s="707"/>
      <c r="MNT35" s="707"/>
      <c r="MNU35" s="707"/>
      <c r="MNV35" s="707"/>
      <c r="MNW35" s="707"/>
      <c r="MNX35" s="707"/>
      <c r="MNY35" s="707"/>
      <c r="MNZ35" s="707"/>
      <c r="MOA35" s="707"/>
      <c r="MOB35" s="707"/>
      <c r="MOC35" s="707"/>
      <c r="MOD35" s="707"/>
      <c r="MOE35" s="707"/>
      <c r="MOF35" s="707"/>
      <c r="MOG35" s="707"/>
      <c r="MOH35" s="707"/>
      <c r="MOI35" s="707"/>
      <c r="MOJ35" s="707"/>
      <c r="MOK35" s="707"/>
      <c r="MOL35" s="707"/>
      <c r="MOM35" s="707"/>
      <c r="MON35" s="707"/>
      <c r="MOO35" s="707"/>
      <c r="MOP35" s="707"/>
      <c r="MOQ35" s="707"/>
      <c r="MOR35" s="707"/>
      <c r="MOS35" s="707"/>
      <c r="MOT35" s="707"/>
      <c r="MOU35" s="707"/>
      <c r="MOV35" s="707"/>
      <c r="MOW35" s="707"/>
      <c r="MOX35" s="707"/>
      <c r="MOY35" s="707"/>
      <c r="MOZ35" s="707"/>
      <c r="MPA35" s="707"/>
      <c r="MPB35" s="707"/>
      <c r="MPC35" s="707"/>
      <c r="MPD35" s="707"/>
      <c r="MPE35" s="707"/>
      <c r="MPF35" s="707"/>
      <c r="MPG35" s="707"/>
      <c r="MPH35" s="707"/>
      <c r="MPI35" s="707"/>
      <c r="MPJ35" s="707"/>
      <c r="MPK35" s="707"/>
      <c r="MPL35" s="707"/>
      <c r="MPM35" s="707"/>
      <c r="MPN35" s="707"/>
      <c r="MPO35" s="707"/>
      <c r="MPP35" s="707"/>
      <c r="MPQ35" s="707"/>
      <c r="MPR35" s="707"/>
      <c r="MPS35" s="707"/>
      <c r="MPT35" s="707"/>
      <c r="MPU35" s="707"/>
      <c r="MPV35" s="707"/>
      <c r="MPW35" s="707"/>
      <c r="MPX35" s="707"/>
      <c r="MPY35" s="707"/>
      <c r="MPZ35" s="707"/>
      <c r="MQA35" s="707"/>
      <c r="MQB35" s="707"/>
      <c r="MQC35" s="707"/>
      <c r="MQD35" s="707"/>
      <c r="MQE35" s="707"/>
      <c r="MQF35" s="707"/>
      <c r="MQG35" s="707"/>
      <c r="MQH35" s="707"/>
      <c r="MQI35" s="707"/>
      <c r="MQJ35" s="707"/>
      <c r="MQK35" s="707"/>
      <c r="MQL35" s="707"/>
      <c r="MQM35" s="707"/>
      <c r="MQN35" s="707"/>
      <c r="MQO35" s="707"/>
      <c r="MQP35" s="707"/>
      <c r="MQQ35" s="707"/>
      <c r="MQR35" s="707"/>
      <c r="MQS35" s="707"/>
      <c r="MQT35" s="707"/>
      <c r="MQU35" s="707"/>
      <c r="MQV35" s="707"/>
      <c r="MQW35" s="707"/>
      <c r="MQX35" s="707"/>
      <c r="MQY35" s="707"/>
      <c r="MQZ35" s="707"/>
      <c r="MRA35" s="707"/>
      <c r="MRB35" s="707"/>
      <c r="MRC35" s="707"/>
      <c r="MRD35" s="707"/>
      <c r="MRE35" s="707"/>
      <c r="MRF35" s="707"/>
      <c r="MRG35" s="707"/>
      <c r="MRH35" s="707"/>
      <c r="MRI35" s="707"/>
      <c r="MRJ35" s="707"/>
      <c r="MRK35" s="707"/>
      <c r="MRL35" s="707"/>
      <c r="MRM35" s="707"/>
      <c r="MRN35" s="707"/>
      <c r="MRO35" s="707"/>
      <c r="MRP35" s="707"/>
      <c r="MRQ35" s="707"/>
      <c r="MRR35" s="707"/>
      <c r="MRS35" s="707"/>
      <c r="MRT35" s="707"/>
      <c r="MRU35" s="707"/>
      <c r="MRV35" s="707"/>
      <c r="MRW35" s="707"/>
      <c r="MRX35" s="707"/>
      <c r="MRY35" s="707"/>
      <c r="MRZ35" s="707"/>
      <c r="MSA35" s="707"/>
      <c r="MSB35" s="707"/>
      <c r="MSC35" s="707"/>
      <c r="MSD35" s="707"/>
      <c r="MSE35" s="707"/>
      <c r="MSF35" s="707"/>
      <c r="MSG35" s="707"/>
      <c r="MSH35" s="707"/>
      <c r="MSI35" s="707"/>
      <c r="MSJ35" s="707"/>
      <c r="MSK35" s="707"/>
      <c r="MSL35" s="707"/>
      <c r="MSM35" s="707"/>
      <c r="MSN35" s="707"/>
      <c r="MSO35" s="707"/>
      <c r="MSP35" s="707"/>
      <c r="MSQ35" s="707"/>
      <c r="MSR35" s="707"/>
      <c r="MSS35" s="707"/>
      <c r="MST35" s="707"/>
      <c r="MSU35" s="707"/>
      <c r="MSV35" s="707"/>
      <c r="MSW35" s="707"/>
      <c r="MSX35" s="707"/>
      <c r="MSY35" s="707"/>
      <c r="MSZ35" s="707"/>
      <c r="MTA35" s="707"/>
      <c r="MTB35" s="707"/>
      <c r="MTC35" s="707"/>
      <c r="MTD35" s="707"/>
      <c r="MTE35" s="707"/>
      <c r="MTF35" s="707"/>
      <c r="MTG35" s="707"/>
      <c r="MTH35" s="707"/>
      <c r="MTI35" s="707"/>
      <c r="MTJ35" s="707"/>
      <c r="MTK35" s="707"/>
      <c r="MTL35" s="707"/>
      <c r="MTM35" s="707"/>
      <c r="MTN35" s="707"/>
      <c r="MTO35" s="707"/>
      <c r="MTP35" s="707"/>
      <c r="MTQ35" s="707"/>
      <c r="MTR35" s="707"/>
      <c r="MTS35" s="707"/>
      <c r="MTT35" s="707"/>
      <c r="MTU35" s="707"/>
      <c r="MTV35" s="707"/>
      <c r="MTW35" s="707"/>
      <c r="MTX35" s="707"/>
      <c r="MTY35" s="707"/>
      <c r="MTZ35" s="707"/>
      <c r="MUA35" s="707"/>
      <c r="MUB35" s="707"/>
      <c r="MUC35" s="707"/>
      <c r="MUD35" s="707"/>
      <c r="MUE35" s="707"/>
      <c r="MUF35" s="707"/>
      <c r="MUG35" s="707"/>
      <c r="MUH35" s="707"/>
      <c r="MUI35" s="707"/>
      <c r="MUJ35" s="707"/>
      <c r="MUK35" s="707"/>
      <c r="MUL35" s="707"/>
      <c r="MUM35" s="707"/>
      <c r="MUN35" s="707"/>
      <c r="MUO35" s="707"/>
      <c r="MUP35" s="707"/>
      <c r="MUQ35" s="707"/>
      <c r="MUR35" s="707"/>
      <c r="MUS35" s="707"/>
      <c r="MUT35" s="707"/>
      <c r="MUU35" s="707"/>
      <c r="MUV35" s="707"/>
      <c r="MUW35" s="707"/>
      <c r="MUX35" s="707"/>
      <c r="MUY35" s="707"/>
      <c r="MUZ35" s="707"/>
      <c r="MVA35" s="707"/>
      <c r="MVB35" s="707"/>
      <c r="MVC35" s="707"/>
      <c r="MVD35" s="707"/>
      <c r="MVE35" s="707"/>
      <c r="MVF35" s="707"/>
      <c r="MVG35" s="707"/>
      <c r="MVH35" s="707"/>
      <c r="MVI35" s="707"/>
      <c r="MVJ35" s="707"/>
      <c r="MVK35" s="707"/>
      <c r="MVL35" s="707"/>
      <c r="MVM35" s="707"/>
      <c r="MVN35" s="707"/>
      <c r="MVO35" s="707"/>
      <c r="MVP35" s="707"/>
      <c r="MVQ35" s="707"/>
      <c r="MVR35" s="707"/>
      <c r="MVS35" s="707"/>
      <c r="MVT35" s="707"/>
      <c r="MVU35" s="707"/>
      <c r="MVV35" s="707"/>
      <c r="MVW35" s="707"/>
      <c r="MVX35" s="707"/>
      <c r="MVY35" s="707"/>
      <c r="MVZ35" s="707"/>
      <c r="MWA35" s="707"/>
      <c r="MWB35" s="707"/>
      <c r="MWC35" s="707"/>
      <c r="MWD35" s="707"/>
      <c r="MWE35" s="707"/>
      <c r="MWF35" s="707"/>
      <c r="MWG35" s="707"/>
      <c r="MWH35" s="707"/>
      <c r="MWI35" s="707"/>
      <c r="MWJ35" s="707"/>
      <c r="MWK35" s="707"/>
      <c r="MWL35" s="707"/>
      <c r="MWM35" s="707"/>
      <c r="MWN35" s="707"/>
      <c r="MWO35" s="707"/>
      <c r="MWP35" s="707"/>
      <c r="MWQ35" s="707"/>
      <c r="MWR35" s="707"/>
      <c r="MWS35" s="707"/>
      <c r="MWT35" s="707"/>
      <c r="MWU35" s="707"/>
      <c r="MWV35" s="707"/>
      <c r="MWW35" s="707"/>
      <c r="MWX35" s="707"/>
      <c r="MWY35" s="707"/>
      <c r="MWZ35" s="707"/>
      <c r="MXA35" s="707"/>
      <c r="MXB35" s="707"/>
      <c r="MXC35" s="707"/>
      <c r="MXD35" s="707"/>
      <c r="MXE35" s="707"/>
      <c r="MXF35" s="707"/>
      <c r="MXG35" s="707"/>
      <c r="MXH35" s="707"/>
      <c r="MXI35" s="707"/>
      <c r="MXJ35" s="707"/>
      <c r="MXK35" s="707"/>
      <c r="MXL35" s="707"/>
      <c r="MXM35" s="707"/>
      <c r="MXN35" s="707"/>
      <c r="MXO35" s="707"/>
      <c r="MXP35" s="707"/>
      <c r="MXQ35" s="707"/>
      <c r="MXR35" s="707"/>
      <c r="MXS35" s="707"/>
      <c r="MXT35" s="707"/>
      <c r="MXU35" s="707"/>
      <c r="MXV35" s="707"/>
      <c r="MXW35" s="707"/>
      <c r="MXX35" s="707"/>
      <c r="MXY35" s="707"/>
      <c r="MXZ35" s="707"/>
      <c r="MYA35" s="707"/>
      <c r="MYB35" s="707"/>
      <c r="MYC35" s="707"/>
      <c r="MYD35" s="707"/>
      <c r="MYE35" s="707"/>
      <c r="MYF35" s="707"/>
      <c r="MYG35" s="707"/>
      <c r="MYH35" s="707"/>
      <c r="MYI35" s="707"/>
      <c r="MYJ35" s="707"/>
      <c r="MYK35" s="707"/>
      <c r="MYL35" s="707"/>
      <c r="MYM35" s="707"/>
      <c r="MYN35" s="707"/>
      <c r="MYO35" s="707"/>
      <c r="MYP35" s="707"/>
      <c r="MYQ35" s="707"/>
      <c r="MYR35" s="707"/>
      <c r="MYS35" s="707"/>
      <c r="MYT35" s="707"/>
      <c r="MYU35" s="707"/>
      <c r="MYV35" s="707"/>
      <c r="MYW35" s="707"/>
      <c r="MYX35" s="707"/>
      <c r="MYY35" s="707"/>
      <c r="MYZ35" s="707"/>
      <c r="MZA35" s="707"/>
      <c r="MZB35" s="707"/>
      <c r="MZC35" s="707"/>
      <c r="MZD35" s="707"/>
      <c r="MZE35" s="707"/>
      <c r="MZF35" s="707"/>
      <c r="MZG35" s="707"/>
      <c r="MZH35" s="707"/>
      <c r="MZI35" s="707"/>
      <c r="MZJ35" s="707"/>
      <c r="MZK35" s="707"/>
      <c r="MZL35" s="707"/>
      <c r="MZM35" s="707"/>
      <c r="MZN35" s="707"/>
      <c r="MZO35" s="707"/>
      <c r="MZP35" s="707"/>
      <c r="MZQ35" s="707"/>
      <c r="MZR35" s="707"/>
      <c r="MZS35" s="707"/>
      <c r="MZT35" s="707"/>
      <c r="MZU35" s="707"/>
      <c r="MZV35" s="707"/>
      <c r="MZW35" s="707"/>
      <c r="MZX35" s="707"/>
      <c r="MZY35" s="707"/>
      <c r="MZZ35" s="707"/>
      <c r="NAA35" s="707"/>
      <c r="NAB35" s="707"/>
      <c r="NAC35" s="707"/>
      <c r="NAD35" s="707"/>
      <c r="NAE35" s="707"/>
      <c r="NAF35" s="707"/>
      <c r="NAG35" s="707"/>
      <c r="NAH35" s="707"/>
      <c r="NAI35" s="707"/>
      <c r="NAJ35" s="707"/>
      <c r="NAK35" s="707"/>
      <c r="NAL35" s="707"/>
      <c r="NAM35" s="707"/>
      <c r="NAN35" s="707"/>
      <c r="NAO35" s="707"/>
      <c r="NAP35" s="707"/>
      <c r="NAQ35" s="707"/>
      <c r="NAR35" s="707"/>
      <c r="NAS35" s="707"/>
      <c r="NAT35" s="707"/>
      <c r="NAU35" s="707"/>
      <c r="NAV35" s="707"/>
      <c r="NAW35" s="707"/>
      <c r="NAX35" s="707"/>
      <c r="NAY35" s="707"/>
      <c r="NAZ35" s="707"/>
      <c r="NBA35" s="707"/>
      <c r="NBB35" s="707"/>
      <c r="NBC35" s="707"/>
      <c r="NBD35" s="707"/>
      <c r="NBE35" s="707"/>
      <c r="NBF35" s="707"/>
      <c r="NBG35" s="707"/>
      <c r="NBH35" s="707"/>
      <c r="NBI35" s="707"/>
      <c r="NBJ35" s="707"/>
      <c r="NBK35" s="707"/>
      <c r="NBL35" s="707"/>
      <c r="NBM35" s="707"/>
      <c r="NBN35" s="707"/>
      <c r="NBO35" s="707"/>
      <c r="NBP35" s="707"/>
      <c r="NBQ35" s="707"/>
      <c r="NBR35" s="707"/>
      <c r="NBS35" s="707"/>
      <c r="NBT35" s="707"/>
      <c r="NBU35" s="707"/>
      <c r="NBV35" s="707"/>
      <c r="NBW35" s="707"/>
      <c r="NBX35" s="707"/>
      <c r="NBY35" s="707"/>
      <c r="NBZ35" s="707"/>
      <c r="NCA35" s="707"/>
      <c r="NCB35" s="707"/>
      <c r="NCC35" s="707"/>
      <c r="NCD35" s="707"/>
      <c r="NCE35" s="707"/>
      <c r="NCF35" s="707"/>
      <c r="NCG35" s="707"/>
      <c r="NCH35" s="707"/>
      <c r="NCI35" s="707"/>
      <c r="NCJ35" s="707"/>
      <c r="NCK35" s="707"/>
      <c r="NCL35" s="707"/>
      <c r="NCM35" s="707"/>
      <c r="NCN35" s="707"/>
      <c r="NCO35" s="707"/>
      <c r="NCP35" s="707"/>
      <c r="NCQ35" s="707"/>
      <c r="NCR35" s="707"/>
      <c r="NCS35" s="707"/>
      <c r="NCT35" s="707"/>
      <c r="NCU35" s="707"/>
      <c r="NCV35" s="707"/>
      <c r="NCW35" s="707"/>
      <c r="NCX35" s="707"/>
      <c r="NCY35" s="707"/>
      <c r="NCZ35" s="707"/>
      <c r="NDA35" s="707"/>
      <c r="NDB35" s="707"/>
      <c r="NDC35" s="707"/>
      <c r="NDD35" s="707"/>
      <c r="NDE35" s="707"/>
      <c r="NDF35" s="707"/>
      <c r="NDG35" s="707"/>
      <c r="NDH35" s="707"/>
      <c r="NDI35" s="707"/>
      <c r="NDJ35" s="707"/>
      <c r="NDK35" s="707"/>
      <c r="NDL35" s="707"/>
      <c r="NDM35" s="707"/>
      <c r="NDN35" s="707"/>
      <c r="NDO35" s="707"/>
      <c r="NDP35" s="707"/>
      <c r="NDQ35" s="707"/>
      <c r="NDR35" s="707"/>
      <c r="NDS35" s="707"/>
      <c r="NDT35" s="707"/>
      <c r="NDU35" s="707"/>
      <c r="NDV35" s="707"/>
      <c r="NDW35" s="707"/>
      <c r="NDX35" s="707"/>
      <c r="NDY35" s="707"/>
      <c r="NDZ35" s="707"/>
      <c r="NEA35" s="707"/>
      <c r="NEB35" s="707"/>
      <c r="NEC35" s="707"/>
      <c r="NED35" s="707"/>
      <c r="NEE35" s="707"/>
      <c r="NEF35" s="707"/>
      <c r="NEG35" s="707"/>
      <c r="NEH35" s="707"/>
      <c r="NEI35" s="707"/>
      <c r="NEJ35" s="707"/>
      <c r="NEK35" s="707"/>
      <c r="NEL35" s="707"/>
      <c r="NEM35" s="707"/>
      <c r="NEN35" s="707"/>
      <c r="NEO35" s="707"/>
      <c r="NEP35" s="707"/>
      <c r="NEQ35" s="707"/>
      <c r="NER35" s="707"/>
      <c r="NES35" s="707"/>
      <c r="NET35" s="707"/>
      <c r="NEU35" s="707"/>
      <c r="NEV35" s="707"/>
      <c r="NEW35" s="707"/>
      <c r="NEX35" s="707"/>
      <c r="NEY35" s="707"/>
      <c r="NEZ35" s="707"/>
      <c r="NFA35" s="707"/>
      <c r="NFB35" s="707"/>
      <c r="NFC35" s="707"/>
      <c r="NFD35" s="707"/>
      <c r="NFE35" s="707"/>
      <c r="NFF35" s="707"/>
      <c r="NFG35" s="707"/>
      <c r="NFH35" s="707"/>
      <c r="NFI35" s="707"/>
      <c r="NFJ35" s="707"/>
      <c r="NFK35" s="707"/>
      <c r="NFL35" s="707"/>
      <c r="NFM35" s="707"/>
      <c r="NFN35" s="707"/>
      <c r="NFO35" s="707"/>
      <c r="NFP35" s="707"/>
      <c r="NFQ35" s="707"/>
      <c r="NFR35" s="707"/>
      <c r="NFS35" s="707"/>
      <c r="NFT35" s="707"/>
      <c r="NFU35" s="707"/>
      <c r="NFV35" s="707"/>
      <c r="NFW35" s="707"/>
      <c r="NFX35" s="707"/>
      <c r="NFY35" s="707"/>
      <c r="NFZ35" s="707"/>
      <c r="NGA35" s="707"/>
      <c r="NGB35" s="707"/>
      <c r="NGC35" s="707"/>
      <c r="NGD35" s="707"/>
      <c r="NGE35" s="707"/>
      <c r="NGF35" s="707"/>
      <c r="NGG35" s="707"/>
      <c r="NGH35" s="707"/>
      <c r="NGI35" s="707"/>
      <c r="NGJ35" s="707"/>
      <c r="NGK35" s="707"/>
      <c r="NGL35" s="707"/>
      <c r="NGM35" s="707"/>
      <c r="NGN35" s="707"/>
      <c r="NGO35" s="707"/>
      <c r="NGP35" s="707"/>
      <c r="NGQ35" s="707"/>
      <c r="NGR35" s="707"/>
      <c r="NGS35" s="707"/>
      <c r="NGT35" s="707"/>
      <c r="NGU35" s="707"/>
      <c r="NGV35" s="707"/>
      <c r="NGW35" s="707"/>
      <c r="NGX35" s="707"/>
      <c r="NGY35" s="707"/>
      <c r="NGZ35" s="707"/>
      <c r="NHA35" s="707"/>
      <c r="NHB35" s="707"/>
      <c r="NHC35" s="707"/>
      <c r="NHD35" s="707"/>
      <c r="NHE35" s="707"/>
      <c r="NHF35" s="707"/>
      <c r="NHG35" s="707"/>
      <c r="NHH35" s="707"/>
      <c r="NHI35" s="707"/>
      <c r="NHJ35" s="707"/>
      <c r="NHK35" s="707"/>
      <c r="NHL35" s="707"/>
      <c r="NHM35" s="707"/>
      <c r="NHN35" s="707"/>
      <c r="NHO35" s="707"/>
      <c r="NHP35" s="707"/>
      <c r="NHQ35" s="707"/>
      <c r="NHR35" s="707"/>
      <c r="NHS35" s="707"/>
      <c r="NHT35" s="707"/>
      <c r="NHU35" s="707"/>
      <c r="NHV35" s="707"/>
      <c r="NHW35" s="707"/>
      <c r="NHX35" s="707"/>
      <c r="NHY35" s="707"/>
      <c r="NHZ35" s="707"/>
      <c r="NIA35" s="707"/>
      <c r="NIB35" s="707"/>
      <c r="NIC35" s="707"/>
      <c r="NID35" s="707"/>
      <c r="NIE35" s="707"/>
      <c r="NIF35" s="707"/>
      <c r="NIG35" s="707"/>
      <c r="NIH35" s="707"/>
      <c r="NII35" s="707"/>
      <c r="NIJ35" s="707"/>
      <c r="NIK35" s="707"/>
      <c r="NIL35" s="707"/>
      <c r="NIM35" s="707"/>
      <c r="NIN35" s="707"/>
      <c r="NIO35" s="707"/>
      <c r="NIP35" s="707"/>
      <c r="NIQ35" s="707"/>
      <c r="NIR35" s="707"/>
      <c r="NIS35" s="707"/>
      <c r="NIT35" s="707"/>
      <c r="NIU35" s="707"/>
      <c r="NIV35" s="707"/>
      <c r="NIW35" s="707"/>
      <c r="NIX35" s="707"/>
      <c r="NIY35" s="707"/>
      <c r="NIZ35" s="707"/>
      <c r="NJA35" s="707"/>
      <c r="NJB35" s="707"/>
      <c r="NJC35" s="707"/>
      <c r="NJD35" s="707"/>
      <c r="NJE35" s="707"/>
      <c r="NJF35" s="707"/>
      <c r="NJG35" s="707"/>
      <c r="NJH35" s="707"/>
      <c r="NJI35" s="707"/>
      <c r="NJJ35" s="707"/>
      <c r="NJK35" s="707"/>
      <c r="NJL35" s="707"/>
      <c r="NJM35" s="707"/>
      <c r="NJN35" s="707"/>
      <c r="NJO35" s="707"/>
      <c r="NJP35" s="707"/>
      <c r="NJQ35" s="707"/>
      <c r="NJR35" s="707"/>
      <c r="NJS35" s="707"/>
      <c r="NJT35" s="707"/>
      <c r="NJU35" s="707"/>
      <c r="NJV35" s="707"/>
      <c r="NJW35" s="707"/>
      <c r="NJX35" s="707"/>
      <c r="NJY35" s="707"/>
      <c r="NJZ35" s="707"/>
      <c r="NKA35" s="707"/>
      <c r="NKB35" s="707"/>
      <c r="NKC35" s="707"/>
      <c r="NKD35" s="707"/>
      <c r="NKE35" s="707"/>
      <c r="NKF35" s="707"/>
      <c r="NKG35" s="707"/>
      <c r="NKH35" s="707"/>
      <c r="NKI35" s="707"/>
      <c r="NKJ35" s="707"/>
      <c r="NKK35" s="707"/>
      <c r="NKL35" s="707"/>
      <c r="NKM35" s="707"/>
      <c r="NKN35" s="707"/>
      <c r="NKO35" s="707"/>
      <c r="NKP35" s="707"/>
      <c r="NKQ35" s="707"/>
      <c r="NKR35" s="707"/>
      <c r="NKS35" s="707"/>
      <c r="NKT35" s="707"/>
      <c r="NKU35" s="707"/>
      <c r="NKV35" s="707"/>
      <c r="NKW35" s="707"/>
      <c r="NKX35" s="707"/>
      <c r="NKY35" s="707"/>
      <c r="NKZ35" s="707"/>
      <c r="NLA35" s="707"/>
      <c r="NLB35" s="707"/>
      <c r="NLC35" s="707"/>
      <c r="NLD35" s="707"/>
      <c r="NLE35" s="707"/>
      <c r="NLF35" s="707"/>
      <c r="NLG35" s="707"/>
      <c r="NLH35" s="707"/>
      <c r="NLI35" s="707"/>
      <c r="NLJ35" s="707"/>
      <c r="NLK35" s="707"/>
      <c r="NLL35" s="707"/>
      <c r="NLM35" s="707"/>
      <c r="NLN35" s="707"/>
      <c r="NLO35" s="707"/>
      <c r="NLP35" s="707"/>
      <c r="NLQ35" s="707"/>
      <c r="NLR35" s="707"/>
      <c r="NLS35" s="707"/>
      <c r="NLT35" s="707"/>
      <c r="NLU35" s="707"/>
      <c r="NLV35" s="707"/>
      <c r="NLW35" s="707"/>
      <c r="NLX35" s="707"/>
      <c r="NLY35" s="707"/>
      <c r="NLZ35" s="707"/>
      <c r="NMA35" s="707"/>
      <c r="NMB35" s="707"/>
      <c r="NMC35" s="707"/>
      <c r="NMD35" s="707"/>
      <c r="NME35" s="707"/>
      <c r="NMF35" s="707"/>
      <c r="NMG35" s="707"/>
      <c r="NMH35" s="707"/>
      <c r="NMI35" s="707"/>
      <c r="NMJ35" s="707"/>
      <c r="NMK35" s="707"/>
      <c r="NML35" s="707"/>
      <c r="NMM35" s="707"/>
      <c r="NMN35" s="707"/>
      <c r="NMO35" s="707"/>
      <c r="NMP35" s="707"/>
      <c r="NMQ35" s="707"/>
      <c r="NMR35" s="707"/>
      <c r="NMS35" s="707"/>
      <c r="NMT35" s="707"/>
      <c r="NMU35" s="707"/>
      <c r="NMV35" s="707"/>
      <c r="NMW35" s="707"/>
      <c r="NMX35" s="707"/>
      <c r="NMY35" s="707"/>
      <c r="NMZ35" s="707"/>
      <c r="NNA35" s="707"/>
      <c r="NNB35" s="707"/>
      <c r="NNC35" s="707"/>
      <c r="NND35" s="707"/>
      <c r="NNE35" s="707"/>
      <c r="NNF35" s="707"/>
      <c r="NNG35" s="707"/>
      <c r="NNH35" s="707"/>
      <c r="NNI35" s="707"/>
      <c r="NNJ35" s="707"/>
      <c r="NNK35" s="707"/>
      <c r="NNL35" s="707"/>
      <c r="NNM35" s="707"/>
      <c r="NNN35" s="707"/>
      <c r="NNO35" s="707"/>
      <c r="NNP35" s="707"/>
      <c r="NNQ35" s="707"/>
      <c r="NNR35" s="707"/>
      <c r="NNS35" s="707"/>
      <c r="NNT35" s="707"/>
      <c r="NNU35" s="707"/>
      <c r="NNV35" s="707"/>
      <c r="NNW35" s="707"/>
      <c r="NNX35" s="707"/>
      <c r="NNY35" s="707"/>
      <c r="NNZ35" s="707"/>
      <c r="NOA35" s="707"/>
      <c r="NOB35" s="707"/>
      <c r="NOC35" s="707"/>
      <c r="NOD35" s="707"/>
      <c r="NOE35" s="707"/>
      <c r="NOF35" s="707"/>
      <c r="NOG35" s="707"/>
      <c r="NOH35" s="707"/>
      <c r="NOI35" s="707"/>
      <c r="NOJ35" s="707"/>
      <c r="NOK35" s="707"/>
      <c r="NOL35" s="707"/>
      <c r="NOM35" s="707"/>
      <c r="NON35" s="707"/>
      <c r="NOO35" s="707"/>
      <c r="NOP35" s="707"/>
      <c r="NOQ35" s="707"/>
      <c r="NOR35" s="707"/>
      <c r="NOS35" s="707"/>
      <c r="NOT35" s="707"/>
      <c r="NOU35" s="707"/>
      <c r="NOV35" s="707"/>
      <c r="NOW35" s="707"/>
      <c r="NOX35" s="707"/>
      <c r="NOY35" s="707"/>
      <c r="NOZ35" s="707"/>
      <c r="NPA35" s="707"/>
      <c r="NPB35" s="707"/>
      <c r="NPC35" s="707"/>
      <c r="NPD35" s="707"/>
      <c r="NPE35" s="707"/>
      <c r="NPF35" s="707"/>
      <c r="NPG35" s="707"/>
      <c r="NPH35" s="707"/>
      <c r="NPI35" s="707"/>
      <c r="NPJ35" s="707"/>
      <c r="NPK35" s="707"/>
      <c r="NPL35" s="707"/>
      <c r="NPM35" s="707"/>
      <c r="NPN35" s="707"/>
      <c r="NPO35" s="707"/>
      <c r="NPP35" s="707"/>
      <c r="NPQ35" s="707"/>
      <c r="NPR35" s="707"/>
      <c r="NPS35" s="707"/>
      <c r="NPT35" s="707"/>
      <c r="NPU35" s="707"/>
      <c r="NPV35" s="707"/>
      <c r="NPW35" s="707"/>
      <c r="NPX35" s="707"/>
      <c r="NPY35" s="707"/>
      <c r="NPZ35" s="707"/>
      <c r="NQA35" s="707"/>
      <c r="NQB35" s="707"/>
      <c r="NQC35" s="707"/>
      <c r="NQD35" s="707"/>
      <c r="NQE35" s="707"/>
      <c r="NQF35" s="707"/>
      <c r="NQG35" s="707"/>
      <c r="NQH35" s="707"/>
      <c r="NQI35" s="707"/>
      <c r="NQJ35" s="707"/>
      <c r="NQK35" s="707"/>
      <c r="NQL35" s="707"/>
      <c r="NQM35" s="707"/>
      <c r="NQN35" s="707"/>
      <c r="NQO35" s="707"/>
      <c r="NQP35" s="707"/>
      <c r="NQQ35" s="707"/>
      <c r="NQR35" s="707"/>
      <c r="NQS35" s="707"/>
      <c r="NQT35" s="707"/>
      <c r="NQU35" s="707"/>
      <c r="NQV35" s="707"/>
      <c r="NQW35" s="707"/>
      <c r="NQX35" s="707"/>
      <c r="NQY35" s="707"/>
      <c r="NQZ35" s="707"/>
      <c r="NRA35" s="707"/>
      <c r="NRB35" s="707"/>
      <c r="NRC35" s="707"/>
      <c r="NRD35" s="707"/>
      <c r="NRE35" s="707"/>
      <c r="NRF35" s="707"/>
      <c r="NRG35" s="707"/>
      <c r="NRH35" s="707"/>
      <c r="NRI35" s="707"/>
      <c r="NRJ35" s="707"/>
      <c r="NRK35" s="707"/>
      <c r="NRL35" s="707"/>
      <c r="NRM35" s="707"/>
      <c r="NRN35" s="707"/>
      <c r="NRO35" s="707"/>
      <c r="NRP35" s="707"/>
      <c r="NRQ35" s="707"/>
      <c r="NRR35" s="707"/>
      <c r="NRS35" s="707"/>
      <c r="NRT35" s="707"/>
      <c r="NRU35" s="707"/>
      <c r="NRV35" s="707"/>
      <c r="NRW35" s="707"/>
      <c r="NRX35" s="707"/>
      <c r="NRY35" s="707"/>
      <c r="NRZ35" s="707"/>
      <c r="NSA35" s="707"/>
      <c r="NSB35" s="707"/>
      <c r="NSC35" s="707"/>
      <c r="NSD35" s="707"/>
      <c r="NSE35" s="707"/>
      <c r="NSF35" s="707"/>
      <c r="NSG35" s="707"/>
      <c r="NSH35" s="707"/>
      <c r="NSI35" s="707"/>
      <c r="NSJ35" s="707"/>
      <c r="NSK35" s="707"/>
      <c r="NSL35" s="707"/>
      <c r="NSM35" s="707"/>
      <c r="NSN35" s="707"/>
      <c r="NSO35" s="707"/>
      <c r="NSP35" s="707"/>
      <c r="NSQ35" s="707"/>
      <c r="NSR35" s="707"/>
      <c r="NSS35" s="707"/>
      <c r="NST35" s="707"/>
      <c r="NSU35" s="707"/>
      <c r="NSV35" s="707"/>
      <c r="NSW35" s="707"/>
      <c r="NSX35" s="707"/>
      <c r="NSY35" s="707"/>
      <c r="NSZ35" s="707"/>
      <c r="NTA35" s="707"/>
      <c r="NTB35" s="707"/>
      <c r="NTC35" s="707"/>
      <c r="NTD35" s="707"/>
      <c r="NTE35" s="707"/>
      <c r="NTF35" s="707"/>
      <c r="NTG35" s="707"/>
      <c r="NTH35" s="707"/>
      <c r="NTI35" s="707"/>
      <c r="NTJ35" s="707"/>
      <c r="NTK35" s="707"/>
      <c r="NTL35" s="707"/>
      <c r="NTM35" s="707"/>
      <c r="NTN35" s="707"/>
      <c r="NTO35" s="707"/>
      <c r="NTP35" s="707"/>
      <c r="NTQ35" s="707"/>
      <c r="NTR35" s="707"/>
      <c r="NTS35" s="707"/>
      <c r="NTT35" s="707"/>
      <c r="NTU35" s="707"/>
      <c r="NTV35" s="707"/>
      <c r="NTW35" s="707"/>
      <c r="NTX35" s="707"/>
      <c r="NTY35" s="707"/>
      <c r="NTZ35" s="707"/>
      <c r="NUA35" s="707"/>
      <c r="NUB35" s="707"/>
      <c r="NUC35" s="707"/>
      <c r="NUD35" s="707"/>
      <c r="NUE35" s="707"/>
      <c r="NUF35" s="707"/>
      <c r="NUG35" s="707"/>
      <c r="NUH35" s="707"/>
      <c r="NUI35" s="707"/>
      <c r="NUJ35" s="707"/>
      <c r="NUK35" s="707"/>
      <c r="NUL35" s="707"/>
      <c r="NUM35" s="707"/>
      <c r="NUN35" s="707"/>
      <c r="NUO35" s="707"/>
      <c r="NUP35" s="707"/>
      <c r="NUQ35" s="707"/>
      <c r="NUR35" s="707"/>
      <c r="NUS35" s="707"/>
      <c r="NUT35" s="707"/>
      <c r="NUU35" s="707"/>
      <c r="NUV35" s="707"/>
      <c r="NUW35" s="707"/>
      <c r="NUX35" s="707"/>
      <c r="NUY35" s="707"/>
      <c r="NUZ35" s="707"/>
      <c r="NVA35" s="707"/>
      <c r="NVB35" s="707"/>
      <c r="NVC35" s="707"/>
      <c r="NVD35" s="707"/>
      <c r="NVE35" s="707"/>
      <c r="NVF35" s="707"/>
      <c r="NVG35" s="707"/>
      <c r="NVH35" s="707"/>
      <c r="NVI35" s="707"/>
      <c r="NVJ35" s="707"/>
      <c r="NVK35" s="707"/>
      <c r="NVL35" s="707"/>
      <c r="NVM35" s="707"/>
      <c r="NVN35" s="707"/>
      <c r="NVO35" s="707"/>
      <c r="NVP35" s="707"/>
      <c r="NVQ35" s="707"/>
      <c r="NVR35" s="707"/>
      <c r="NVS35" s="707"/>
      <c r="NVT35" s="707"/>
      <c r="NVU35" s="707"/>
      <c r="NVV35" s="707"/>
      <c r="NVW35" s="707"/>
      <c r="NVX35" s="707"/>
      <c r="NVY35" s="707"/>
      <c r="NVZ35" s="707"/>
      <c r="NWA35" s="707"/>
      <c r="NWB35" s="707"/>
      <c r="NWC35" s="707"/>
      <c r="NWD35" s="707"/>
      <c r="NWE35" s="707"/>
      <c r="NWF35" s="707"/>
      <c r="NWG35" s="707"/>
      <c r="NWH35" s="707"/>
      <c r="NWI35" s="707"/>
      <c r="NWJ35" s="707"/>
      <c r="NWK35" s="707"/>
      <c r="NWL35" s="707"/>
      <c r="NWM35" s="707"/>
      <c r="NWN35" s="707"/>
      <c r="NWO35" s="707"/>
      <c r="NWP35" s="707"/>
      <c r="NWQ35" s="707"/>
      <c r="NWR35" s="707"/>
      <c r="NWS35" s="707"/>
      <c r="NWT35" s="707"/>
      <c r="NWU35" s="707"/>
      <c r="NWV35" s="707"/>
      <c r="NWW35" s="707"/>
      <c r="NWX35" s="707"/>
      <c r="NWY35" s="707"/>
      <c r="NWZ35" s="707"/>
      <c r="NXA35" s="707"/>
      <c r="NXB35" s="707"/>
      <c r="NXC35" s="707"/>
      <c r="NXD35" s="707"/>
      <c r="NXE35" s="707"/>
      <c r="NXF35" s="707"/>
      <c r="NXG35" s="707"/>
      <c r="NXH35" s="707"/>
      <c r="NXI35" s="707"/>
      <c r="NXJ35" s="707"/>
      <c r="NXK35" s="707"/>
      <c r="NXL35" s="707"/>
      <c r="NXM35" s="707"/>
      <c r="NXN35" s="707"/>
      <c r="NXO35" s="707"/>
      <c r="NXP35" s="707"/>
      <c r="NXQ35" s="707"/>
      <c r="NXR35" s="707"/>
      <c r="NXS35" s="707"/>
      <c r="NXT35" s="707"/>
      <c r="NXU35" s="707"/>
      <c r="NXV35" s="707"/>
      <c r="NXW35" s="707"/>
      <c r="NXX35" s="707"/>
      <c r="NXY35" s="707"/>
      <c r="NXZ35" s="707"/>
      <c r="NYA35" s="707"/>
      <c r="NYB35" s="707"/>
      <c r="NYC35" s="707"/>
      <c r="NYD35" s="707"/>
      <c r="NYE35" s="707"/>
      <c r="NYF35" s="707"/>
      <c r="NYG35" s="707"/>
      <c r="NYH35" s="707"/>
      <c r="NYI35" s="707"/>
      <c r="NYJ35" s="707"/>
      <c r="NYK35" s="707"/>
      <c r="NYL35" s="707"/>
      <c r="NYM35" s="707"/>
      <c r="NYN35" s="707"/>
      <c r="NYO35" s="707"/>
      <c r="NYP35" s="707"/>
      <c r="NYQ35" s="707"/>
      <c r="NYR35" s="707"/>
      <c r="NYS35" s="707"/>
      <c r="NYT35" s="707"/>
      <c r="NYU35" s="707"/>
      <c r="NYV35" s="707"/>
      <c r="NYW35" s="707"/>
      <c r="NYX35" s="707"/>
      <c r="NYY35" s="707"/>
      <c r="NYZ35" s="707"/>
      <c r="NZA35" s="707"/>
      <c r="NZB35" s="707"/>
      <c r="NZC35" s="707"/>
      <c r="NZD35" s="707"/>
      <c r="NZE35" s="707"/>
      <c r="NZF35" s="707"/>
      <c r="NZG35" s="707"/>
      <c r="NZH35" s="707"/>
      <c r="NZI35" s="707"/>
      <c r="NZJ35" s="707"/>
      <c r="NZK35" s="707"/>
      <c r="NZL35" s="707"/>
      <c r="NZM35" s="707"/>
      <c r="NZN35" s="707"/>
      <c r="NZO35" s="707"/>
      <c r="NZP35" s="707"/>
      <c r="NZQ35" s="707"/>
      <c r="NZR35" s="707"/>
      <c r="NZS35" s="707"/>
      <c r="NZT35" s="707"/>
      <c r="NZU35" s="707"/>
      <c r="NZV35" s="707"/>
      <c r="NZW35" s="707"/>
      <c r="NZX35" s="707"/>
      <c r="NZY35" s="707"/>
      <c r="NZZ35" s="707"/>
      <c r="OAA35" s="707"/>
      <c r="OAB35" s="707"/>
      <c r="OAC35" s="707"/>
      <c r="OAD35" s="707"/>
      <c r="OAE35" s="707"/>
      <c r="OAF35" s="707"/>
      <c r="OAG35" s="707"/>
      <c r="OAH35" s="707"/>
      <c r="OAI35" s="707"/>
      <c r="OAJ35" s="707"/>
      <c r="OAK35" s="707"/>
      <c r="OAL35" s="707"/>
      <c r="OAM35" s="707"/>
      <c r="OAN35" s="707"/>
      <c r="OAO35" s="707"/>
      <c r="OAP35" s="707"/>
      <c r="OAQ35" s="707"/>
      <c r="OAR35" s="707"/>
      <c r="OAS35" s="707"/>
      <c r="OAT35" s="707"/>
      <c r="OAU35" s="707"/>
      <c r="OAV35" s="707"/>
      <c r="OAW35" s="707"/>
      <c r="OAX35" s="707"/>
      <c r="OAY35" s="707"/>
      <c r="OAZ35" s="707"/>
      <c r="OBA35" s="707"/>
      <c r="OBB35" s="707"/>
      <c r="OBC35" s="707"/>
      <c r="OBD35" s="707"/>
      <c r="OBE35" s="707"/>
      <c r="OBF35" s="707"/>
      <c r="OBG35" s="707"/>
      <c r="OBH35" s="707"/>
      <c r="OBI35" s="707"/>
      <c r="OBJ35" s="707"/>
      <c r="OBK35" s="707"/>
      <c r="OBL35" s="707"/>
      <c r="OBM35" s="707"/>
      <c r="OBN35" s="707"/>
      <c r="OBO35" s="707"/>
      <c r="OBP35" s="707"/>
      <c r="OBQ35" s="707"/>
      <c r="OBR35" s="707"/>
      <c r="OBS35" s="707"/>
      <c r="OBT35" s="707"/>
      <c r="OBU35" s="707"/>
      <c r="OBV35" s="707"/>
      <c r="OBW35" s="707"/>
      <c r="OBX35" s="707"/>
      <c r="OBY35" s="707"/>
      <c r="OBZ35" s="707"/>
      <c r="OCA35" s="707"/>
      <c r="OCB35" s="707"/>
      <c r="OCC35" s="707"/>
      <c r="OCD35" s="707"/>
      <c r="OCE35" s="707"/>
      <c r="OCF35" s="707"/>
      <c r="OCG35" s="707"/>
      <c r="OCH35" s="707"/>
      <c r="OCI35" s="707"/>
      <c r="OCJ35" s="707"/>
      <c r="OCK35" s="707"/>
      <c r="OCL35" s="707"/>
      <c r="OCM35" s="707"/>
      <c r="OCN35" s="707"/>
      <c r="OCO35" s="707"/>
      <c r="OCP35" s="707"/>
      <c r="OCQ35" s="707"/>
      <c r="OCR35" s="707"/>
      <c r="OCS35" s="707"/>
      <c r="OCT35" s="707"/>
      <c r="OCU35" s="707"/>
      <c r="OCV35" s="707"/>
      <c r="OCW35" s="707"/>
      <c r="OCX35" s="707"/>
      <c r="OCY35" s="707"/>
      <c r="OCZ35" s="707"/>
      <c r="ODA35" s="707"/>
      <c r="ODB35" s="707"/>
      <c r="ODC35" s="707"/>
      <c r="ODD35" s="707"/>
      <c r="ODE35" s="707"/>
      <c r="ODF35" s="707"/>
      <c r="ODG35" s="707"/>
      <c r="ODH35" s="707"/>
      <c r="ODI35" s="707"/>
      <c r="ODJ35" s="707"/>
      <c r="ODK35" s="707"/>
      <c r="ODL35" s="707"/>
      <c r="ODM35" s="707"/>
      <c r="ODN35" s="707"/>
      <c r="ODO35" s="707"/>
      <c r="ODP35" s="707"/>
      <c r="ODQ35" s="707"/>
      <c r="ODR35" s="707"/>
      <c r="ODS35" s="707"/>
      <c r="ODT35" s="707"/>
      <c r="ODU35" s="707"/>
      <c r="ODV35" s="707"/>
      <c r="ODW35" s="707"/>
      <c r="ODX35" s="707"/>
      <c r="ODY35" s="707"/>
      <c r="ODZ35" s="707"/>
      <c r="OEA35" s="707"/>
      <c r="OEB35" s="707"/>
      <c r="OEC35" s="707"/>
      <c r="OED35" s="707"/>
      <c r="OEE35" s="707"/>
      <c r="OEF35" s="707"/>
      <c r="OEG35" s="707"/>
      <c r="OEH35" s="707"/>
      <c r="OEI35" s="707"/>
      <c r="OEJ35" s="707"/>
      <c r="OEK35" s="707"/>
      <c r="OEL35" s="707"/>
      <c r="OEM35" s="707"/>
      <c r="OEN35" s="707"/>
      <c r="OEO35" s="707"/>
      <c r="OEP35" s="707"/>
      <c r="OEQ35" s="707"/>
      <c r="OER35" s="707"/>
      <c r="OES35" s="707"/>
      <c r="OET35" s="707"/>
      <c r="OEU35" s="707"/>
      <c r="OEV35" s="707"/>
      <c r="OEW35" s="707"/>
      <c r="OEX35" s="707"/>
      <c r="OEY35" s="707"/>
      <c r="OEZ35" s="707"/>
      <c r="OFA35" s="707"/>
      <c r="OFB35" s="707"/>
      <c r="OFC35" s="707"/>
      <c r="OFD35" s="707"/>
      <c r="OFE35" s="707"/>
      <c r="OFF35" s="707"/>
      <c r="OFG35" s="707"/>
      <c r="OFH35" s="707"/>
      <c r="OFI35" s="707"/>
      <c r="OFJ35" s="707"/>
      <c r="OFK35" s="707"/>
      <c r="OFL35" s="707"/>
      <c r="OFM35" s="707"/>
      <c r="OFN35" s="707"/>
      <c r="OFO35" s="707"/>
      <c r="OFP35" s="707"/>
      <c r="OFQ35" s="707"/>
      <c r="OFR35" s="707"/>
      <c r="OFS35" s="707"/>
      <c r="OFT35" s="707"/>
      <c r="OFU35" s="707"/>
      <c r="OFV35" s="707"/>
      <c r="OFW35" s="707"/>
      <c r="OFX35" s="707"/>
      <c r="OFY35" s="707"/>
      <c r="OFZ35" s="707"/>
      <c r="OGA35" s="707"/>
      <c r="OGB35" s="707"/>
      <c r="OGC35" s="707"/>
      <c r="OGD35" s="707"/>
      <c r="OGE35" s="707"/>
      <c r="OGF35" s="707"/>
      <c r="OGG35" s="707"/>
      <c r="OGH35" s="707"/>
      <c r="OGI35" s="707"/>
      <c r="OGJ35" s="707"/>
      <c r="OGK35" s="707"/>
      <c r="OGL35" s="707"/>
      <c r="OGM35" s="707"/>
      <c r="OGN35" s="707"/>
      <c r="OGO35" s="707"/>
      <c r="OGP35" s="707"/>
      <c r="OGQ35" s="707"/>
      <c r="OGR35" s="707"/>
      <c r="OGS35" s="707"/>
      <c r="OGT35" s="707"/>
      <c r="OGU35" s="707"/>
      <c r="OGV35" s="707"/>
      <c r="OGW35" s="707"/>
      <c r="OGX35" s="707"/>
      <c r="OGY35" s="707"/>
      <c r="OGZ35" s="707"/>
      <c r="OHA35" s="707"/>
      <c r="OHB35" s="707"/>
      <c r="OHC35" s="707"/>
      <c r="OHD35" s="707"/>
      <c r="OHE35" s="707"/>
      <c r="OHF35" s="707"/>
      <c r="OHG35" s="707"/>
      <c r="OHH35" s="707"/>
      <c r="OHI35" s="707"/>
      <c r="OHJ35" s="707"/>
      <c r="OHK35" s="707"/>
      <c r="OHL35" s="707"/>
      <c r="OHM35" s="707"/>
      <c r="OHN35" s="707"/>
      <c r="OHO35" s="707"/>
      <c r="OHP35" s="707"/>
      <c r="OHQ35" s="707"/>
      <c r="OHR35" s="707"/>
      <c r="OHS35" s="707"/>
      <c r="OHT35" s="707"/>
      <c r="OHU35" s="707"/>
      <c r="OHV35" s="707"/>
      <c r="OHW35" s="707"/>
      <c r="OHX35" s="707"/>
      <c r="OHY35" s="707"/>
      <c r="OHZ35" s="707"/>
      <c r="OIA35" s="707"/>
      <c r="OIB35" s="707"/>
      <c r="OIC35" s="707"/>
      <c r="OID35" s="707"/>
      <c r="OIE35" s="707"/>
      <c r="OIF35" s="707"/>
      <c r="OIG35" s="707"/>
      <c r="OIH35" s="707"/>
      <c r="OII35" s="707"/>
      <c r="OIJ35" s="707"/>
      <c r="OIK35" s="707"/>
      <c r="OIL35" s="707"/>
      <c r="OIM35" s="707"/>
      <c r="OIN35" s="707"/>
      <c r="OIO35" s="707"/>
      <c r="OIP35" s="707"/>
      <c r="OIQ35" s="707"/>
      <c r="OIR35" s="707"/>
      <c r="OIS35" s="707"/>
      <c r="OIT35" s="707"/>
      <c r="OIU35" s="707"/>
      <c r="OIV35" s="707"/>
      <c r="OIW35" s="707"/>
      <c r="OIX35" s="707"/>
      <c r="OIY35" s="707"/>
      <c r="OIZ35" s="707"/>
      <c r="OJA35" s="707"/>
      <c r="OJB35" s="707"/>
      <c r="OJC35" s="707"/>
      <c r="OJD35" s="707"/>
      <c r="OJE35" s="707"/>
      <c r="OJF35" s="707"/>
      <c r="OJG35" s="707"/>
      <c r="OJH35" s="707"/>
      <c r="OJI35" s="707"/>
      <c r="OJJ35" s="707"/>
      <c r="OJK35" s="707"/>
      <c r="OJL35" s="707"/>
      <c r="OJM35" s="707"/>
      <c r="OJN35" s="707"/>
      <c r="OJO35" s="707"/>
      <c r="OJP35" s="707"/>
      <c r="OJQ35" s="707"/>
      <c r="OJR35" s="707"/>
      <c r="OJS35" s="707"/>
      <c r="OJT35" s="707"/>
      <c r="OJU35" s="707"/>
      <c r="OJV35" s="707"/>
      <c r="OJW35" s="707"/>
      <c r="OJX35" s="707"/>
      <c r="OJY35" s="707"/>
      <c r="OJZ35" s="707"/>
      <c r="OKA35" s="707"/>
      <c r="OKB35" s="707"/>
      <c r="OKC35" s="707"/>
      <c r="OKD35" s="707"/>
      <c r="OKE35" s="707"/>
      <c r="OKF35" s="707"/>
      <c r="OKG35" s="707"/>
      <c r="OKH35" s="707"/>
      <c r="OKI35" s="707"/>
      <c r="OKJ35" s="707"/>
      <c r="OKK35" s="707"/>
      <c r="OKL35" s="707"/>
      <c r="OKM35" s="707"/>
      <c r="OKN35" s="707"/>
      <c r="OKO35" s="707"/>
      <c r="OKP35" s="707"/>
      <c r="OKQ35" s="707"/>
      <c r="OKR35" s="707"/>
      <c r="OKS35" s="707"/>
      <c r="OKT35" s="707"/>
      <c r="OKU35" s="707"/>
      <c r="OKV35" s="707"/>
      <c r="OKW35" s="707"/>
      <c r="OKX35" s="707"/>
      <c r="OKY35" s="707"/>
      <c r="OKZ35" s="707"/>
      <c r="OLA35" s="707"/>
      <c r="OLB35" s="707"/>
      <c r="OLC35" s="707"/>
      <c r="OLD35" s="707"/>
      <c r="OLE35" s="707"/>
      <c r="OLF35" s="707"/>
      <c r="OLG35" s="707"/>
      <c r="OLH35" s="707"/>
      <c r="OLI35" s="707"/>
      <c r="OLJ35" s="707"/>
      <c r="OLK35" s="707"/>
      <c r="OLL35" s="707"/>
      <c r="OLM35" s="707"/>
      <c r="OLN35" s="707"/>
      <c r="OLO35" s="707"/>
      <c r="OLP35" s="707"/>
      <c r="OLQ35" s="707"/>
      <c r="OLR35" s="707"/>
      <c r="OLS35" s="707"/>
      <c r="OLT35" s="707"/>
      <c r="OLU35" s="707"/>
      <c r="OLV35" s="707"/>
      <c r="OLW35" s="707"/>
      <c r="OLX35" s="707"/>
      <c r="OLY35" s="707"/>
      <c r="OLZ35" s="707"/>
      <c r="OMA35" s="707"/>
      <c r="OMB35" s="707"/>
      <c r="OMC35" s="707"/>
      <c r="OMD35" s="707"/>
      <c r="OME35" s="707"/>
      <c r="OMF35" s="707"/>
      <c r="OMG35" s="707"/>
      <c r="OMH35" s="707"/>
      <c r="OMI35" s="707"/>
      <c r="OMJ35" s="707"/>
      <c r="OMK35" s="707"/>
      <c r="OML35" s="707"/>
      <c r="OMM35" s="707"/>
      <c r="OMN35" s="707"/>
      <c r="OMO35" s="707"/>
      <c r="OMP35" s="707"/>
      <c r="OMQ35" s="707"/>
      <c r="OMR35" s="707"/>
      <c r="OMS35" s="707"/>
      <c r="OMT35" s="707"/>
      <c r="OMU35" s="707"/>
      <c r="OMV35" s="707"/>
      <c r="OMW35" s="707"/>
      <c r="OMX35" s="707"/>
      <c r="OMY35" s="707"/>
      <c r="OMZ35" s="707"/>
      <c r="ONA35" s="707"/>
      <c r="ONB35" s="707"/>
      <c r="ONC35" s="707"/>
      <c r="OND35" s="707"/>
      <c r="ONE35" s="707"/>
      <c r="ONF35" s="707"/>
      <c r="ONG35" s="707"/>
      <c r="ONH35" s="707"/>
      <c r="ONI35" s="707"/>
      <c r="ONJ35" s="707"/>
      <c r="ONK35" s="707"/>
      <c r="ONL35" s="707"/>
      <c r="ONM35" s="707"/>
      <c r="ONN35" s="707"/>
      <c r="ONO35" s="707"/>
      <c r="ONP35" s="707"/>
      <c r="ONQ35" s="707"/>
      <c r="ONR35" s="707"/>
      <c r="ONS35" s="707"/>
      <c r="ONT35" s="707"/>
      <c r="ONU35" s="707"/>
      <c r="ONV35" s="707"/>
      <c r="ONW35" s="707"/>
      <c r="ONX35" s="707"/>
      <c r="ONY35" s="707"/>
      <c r="ONZ35" s="707"/>
      <c r="OOA35" s="707"/>
      <c r="OOB35" s="707"/>
      <c r="OOC35" s="707"/>
      <c r="OOD35" s="707"/>
      <c r="OOE35" s="707"/>
      <c r="OOF35" s="707"/>
      <c r="OOG35" s="707"/>
      <c r="OOH35" s="707"/>
      <c r="OOI35" s="707"/>
      <c r="OOJ35" s="707"/>
      <c r="OOK35" s="707"/>
      <c r="OOL35" s="707"/>
      <c r="OOM35" s="707"/>
      <c r="OON35" s="707"/>
      <c r="OOO35" s="707"/>
      <c r="OOP35" s="707"/>
      <c r="OOQ35" s="707"/>
      <c r="OOR35" s="707"/>
      <c r="OOS35" s="707"/>
      <c r="OOT35" s="707"/>
      <c r="OOU35" s="707"/>
      <c r="OOV35" s="707"/>
      <c r="OOW35" s="707"/>
      <c r="OOX35" s="707"/>
      <c r="OOY35" s="707"/>
      <c r="OOZ35" s="707"/>
      <c r="OPA35" s="707"/>
      <c r="OPB35" s="707"/>
      <c r="OPC35" s="707"/>
      <c r="OPD35" s="707"/>
      <c r="OPE35" s="707"/>
      <c r="OPF35" s="707"/>
      <c r="OPG35" s="707"/>
      <c r="OPH35" s="707"/>
      <c r="OPI35" s="707"/>
      <c r="OPJ35" s="707"/>
      <c r="OPK35" s="707"/>
      <c r="OPL35" s="707"/>
      <c r="OPM35" s="707"/>
      <c r="OPN35" s="707"/>
      <c r="OPO35" s="707"/>
      <c r="OPP35" s="707"/>
      <c r="OPQ35" s="707"/>
      <c r="OPR35" s="707"/>
      <c r="OPS35" s="707"/>
      <c r="OPT35" s="707"/>
      <c r="OPU35" s="707"/>
      <c r="OPV35" s="707"/>
      <c r="OPW35" s="707"/>
      <c r="OPX35" s="707"/>
      <c r="OPY35" s="707"/>
      <c r="OPZ35" s="707"/>
      <c r="OQA35" s="707"/>
      <c r="OQB35" s="707"/>
      <c r="OQC35" s="707"/>
      <c r="OQD35" s="707"/>
      <c r="OQE35" s="707"/>
      <c r="OQF35" s="707"/>
      <c r="OQG35" s="707"/>
      <c r="OQH35" s="707"/>
      <c r="OQI35" s="707"/>
      <c r="OQJ35" s="707"/>
      <c r="OQK35" s="707"/>
      <c r="OQL35" s="707"/>
      <c r="OQM35" s="707"/>
      <c r="OQN35" s="707"/>
      <c r="OQO35" s="707"/>
      <c r="OQP35" s="707"/>
      <c r="OQQ35" s="707"/>
      <c r="OQR35" s="707"/>
      <c r="OQS35" s="707"/>
      <c r="OQT35" s="707"/>
      <c r="OQU35" s="707"/>
      <c r="OQV35" s="707"/>
      <c r="OQW35" s="707"/>
      <c r="OQX35" s="707"/>
      <c r="OQY35" s="707"/>
      <c r="OQZ35" s="707"/>
      <c r="ORA35" s="707"/>
      <c r="ORB35" s="707"/>
      <c r="ORC35" s="707"/>
      <c r="ORD35" s="707"/>
      <c r="ORE35" s="707"/>
      <c r="ORF35" s="707"/>
      <c r="ORG35" s="707"/>
      <c r="ORH35" s="707"/>
      <c r="ORI35" s="707"/>
      <c r="ORJ35" s="707"/>
      <c r="ORK35" s="707"/>
      <c r="ORL35" s="707"/>
      <c r="ORM35" s="707"/>
      <c r="ORN35" s="707"/>
      <c r="ORO35" s="707"/>
      <c r="ORP35" s="707"/>
      <c r="ORQ35" s="707"/>
      <c r="ORR35" s="707"/>
      <c r="ORS35" s="707"/>
      <c r="ORT35" s="707"/>
      <c r="ORU35" s="707"/>
      <c r="ORV35" s="707"/>
      <c r="ORW35" s="707"/>
      <c r="ORX35" s="707"/>
      <c r="ORY35" s="707"/>
      <c r="ORZ35" s="707"/>
      <c r="OSA35" s="707"/>
      <c r="OSB35" s="707"/>
      <c r="OSC35" s="707"/>
      <c r="OSD35" s="707"/>
      <c r="OSE35" s="707"/>
      <c r="OSF35" s="707"/>
      <c r="OSG35" s="707"/>
      <c r="OSH35" s="707"/>
      <c r="OSI35" s="707"/>
      <c r="OSJ35" s="707"/>
      <c r="OSK35" s="707"/>
      <c r="OSL35" s="707"/>
      <c r="OSM35" s="707"/>
      <c r="OSN35" s="707"/>
      <c r="OSO35" s="707"/>
      <c r="OSP35" s="707"/>
      <c r="OSQ35" s="707"/>
      <c r="OSR35" s="707"/>
      <c r="OSS35" s="707"/>
      <c r="OST35" s="707"/>
      <c r="OSU35" s="707"/>
      <c r="OSV35" s="707"/>
      <c r="OSW35" s="707"/>
      <c r="OSX35" s="707"/>
      <c r="OSY35" s="707"/>
      <c r="OSZ35" s="707"/>
      <c r="OTA35" s="707"/>
      <c r="OTB35" s="707"/>
      <c r="OTC35" s="707"/>
      <c r="OTD35" s="707"/>
      <c r="OTE35" s="707"/>
      <c r="OTF35" s="707"/>
      <c r="OTG35" s="707"/>
      <c r="OTH35" s="707"/>
      <c r="OTI35" s="707"/>
      <c r="OTJ35" s="707"/>
      <c r="OTK35" s="707"/>
      <c r="OTL35" s="707"/>
      <c r="OTM35" s="707"/>
      <c r="OTN35" s="707"/>
      <c r="OTO35" s="707"/>
      <c r="OTP35" s="707"/>
      <c r="OTQ35" s="707"/>
      <c r="OTR35" s="707"/>
      <c r="OTS35" s="707"/>
      <c r="OTT35" s="707"/>
      <c r="OTU35" s="707"/>
      <c r="OTV35" s="707"/>
      <c r="OTW35" s="707"/>
      <c r="OTX35" s="707"/>
      <c r="OTY35" s="707"/>
      <c r="OTZ35" s="707"/>
      <c r="OUA35" s="707"/>
      <c r="OUB35" s="707"/>
      <c r="OUC35" s="707"/>
      <c r="OUD35" s="707"/>
      <c r="OUE35" s="707"/>
      <c r="OUF35" s="707"/>
      <c r="OUG35" s="707"/>
      <c r="OUH35" s="707"/>
      <c r="OUI35" s="707"/>
      <c r="OUJ35" s="707"/>
      <c r="OUK35" s="707"/>
      <c r="OUL35" s="707"/>
      <c r="OUM35" s="707"/>
      <c r="OUN35" s="707"/>
      <c r="OUO35" s="707"/>
      <c r="OUP35" s="707"/>
      <c r="OUQ35" s="707"/>
      <c r="OUR35" s="707"/>
      <c r="OUS35" s="707"/>
      <c r="OUT35" s="707"/>
      <c r="OUU35" s="707"/>
      <c r="OUV35" s="707"/>
      <c r="OUW35" s="707"/>
      <c r="OUX35" s="707"/>
      <c r="OUY35" s="707"/>
      <c r="OUZ35" s="707"/>
      <c r="OVA35" s="707"/>
      <c r="OVB35" s="707"/>
      <c r="OVC35" s="707"/>
      <c r="OVD35" s="707"/>
      <c r="OVE35" s="707"/>
      <c r="OVF35" s="707"/>
      <c r="OVG35" s="707"/>
      <c r="OVH35" s="707"/>
      <c r="OVI35" s="707"/>
      <c r="OVJ35" s="707"/>
      <c r="OVK35" s="707"/>
      <c r="OVL35" s="707"/>
      <c r="OVM35" s="707"/>
      <c r="OVN35" s="707"/>
      <c r="OVO35" s="707"/>
      <c r="OVP35" s="707"/>
      <c r="OVQ35" s="707"/>
      <c r="OVR35" s="707"/>
      <c r="OVS35" s="707"/>
      <c r="OVT35" s="707"/>
      <c r="OVU35" s="707"/>
      <c r="OVV35" s="707"/>
      <c r="OVW35" s="707"/>
      <c r="OVX35" s="707"/>
      <c r="OVY35" s="707"/>
      <c r="OVZ35" s="707"/>
      <c r="OWA35" s="707"/>
      <c r="OWB35" s="707"/>
      <c r="OWC35" s="707"/>
      <c r="OWD35" s="707"/>
      <c r="OWE35" s="707"/>
      <c r="OWF35" s="707"/>
      <c r="OWG35" s="707"/>
      <c r="OWH35" s="707"/>
      <c r="OWI35" s="707"/>
      <c r="OWJ35" s="707"/>
      <c r="OWK35" s="707"/>
      <c r="OWL35" s="707"/>
      <c r="OWM35" s="707"/>
      <c r="OWN35" s="707"/>
      <c r="OWO35" s="707"/>
      <c r="OWP35" s="707"/>
      <c r="OWQ35" s="707"/>
      <c r="OWR35" s="707"/>
      <c r="OWS35" s="707"/>
      <c r="OWT35" s="707"/>
      <c r="OWU35" s="707"/>
      <c r="OWV35" s="707"/>
      <c r="OWW35" s="707"/>
      <c r="OWX35" s="707"/>
      <c r="OWY35" s="707"/>
      <c r="OWZ35" s="707"/>
      <c r="OXA35" s="707"/>
      <c r="OXB35" s="707"/>
      <c r="OXC35" s="707"/>
      <c r="OXD35" s="707"/>
      <c r="OXE35" s="707"/>
      <c r="OXF35" s="707"/>
      <c r="OXG35" s="707"/>
      <c r="OXH35" s="707"/>
      <c r="OXI35" s="707"/>
      <c r="OXJ35" s="707"/>
      <c r="OXK35" s="707"/>
      <c r="OXL35" s="707"/>
      <c r="OXM35" s="707"/>
      <c r="OXN35" s="707"/>
      <c r="OXO35" s="707"/>
      <c r="OXP35" s="707"/>
      <c r="OXQ35" s="707"/>
      <c r="OXR35" s="707"/>
      <c r="OXS35" s="707"/>
      <c r="OXT35" s="707"/>
      <c r="OXU35" s="707"/>
      <c r="OXV35" s="707"/>
      <c r="OXW35" s="707"/>
      <c r="OXX35" s="707"/>
      <c r="OXY35" s="707"/>
      <c r="OXZ35" s="707"/>
      <c r="OYA35" s="707"/>
      <c r="OYB35" s="707"/>
      <c r="OYC35" s="707"/>
      <c r="OYD35" s="707"/>
      <c r="OYE35" s="707"/>
      <c r="OYF35" s="707"/>
      <c r="OYG35" s="707"/>
      <c r="OYH35" s="707"/>
      <c r="OYI35" s="707"/>
      <c r="OYJ35" s="707"/>
      <c r="OYK35" s="707"/>
      <c r="OYL35" s="707"/>
      <c r="OYM35" s="707"/>
      <c r="OYN35" s="707"/>
      <c r="OYO35" s="707"/>
      <c r="OYP35" s="707"/>
      <c r="OYQ35" s="707"/>
      <c r="OYR35" s="707"/>
      <c r="OYS35" s="707"/>
      <c r="OYT35" s="707"/>
      <c r="OYU35" s="707"/>
      <c r="OYV35" s="707"/>
      <c r="OYW35" s="707"/>
      <c r="OYX35" s="707"/>
      <c r="OYY35" s="707"/>
      <c r="OYZ35" s="707"/>
      <c r="OZA35" s="707"/>
      <c r="OZB35" s="707"/>
      <c r="OZC35" s="707"/>
      <c r="OZD35" s="707"/>
      <c r="OZE35" s="707"/>
      <c r="OZF35" s="707"/>
      <c r="OZG35" s="707"/>
      <c r="OZH35" s="707"/>
      <c r="OZI35" s="707"/>
      <c r="OZJ35" s="707"/>
      <c r="OZK35" s="707"/>
      <c r="OZL35" s="707"/>
      <c r="OZM35" s="707"/>
      <c r="OZN35" s="707"/>
      <c r="OZO35" s="707"/>
      <c r="OZP35" s="707"/>
      <c r="OZQ35" s="707"/>
      <c r="OZR35" s="707"/>
      <c r="OZS35" s="707"/>
      <c r="OZT35" s="707"/>
      <c r="OZU35" s="707"/>
      <c r="OZV35" s="707"/>
      <c r="OZW35" s="707"/>
      <c r="OZX35" s="707"/>
      <c r="OZY35" s="707"/>
      <c r="OZZ35" s="707"/>
      <c r="PAA35" s="707"/>
      <c r="PAB35" s="707"/>
      <c r="PAC35" s="707"/>
      <c r="PAD35" s="707"/>
      <c r="PAE35" s="707"/>
      <c r="PAF35" s="707"/>
      <c r="PAG35" s="707"/>
      <c r="PAH35" s="707"/>
      <c r="PAI35" s="707"/>
      <c r="PAJ35" s="707"/>
      <c r="PAK35" s="707"/>
      <c r="PAL35" s="707"/>
      <c r="PAM35" s="707"/>
      <c r="PAN35" s="707"/>
      <c r="PAO35" s="707"/>
      <c r="PAP35" s="707"/>
      <c r="PAQ35" s="707"/>
      <c r="PAR35" s="707"/>
      <c r="PAS35" s="707"/>
      <c r="PAT35" s="707"/>
      <c r="PAU35" s="707"/>
      <c r="PAV35" s="707"/>
      <c r="PAW35" s="707"/>
      <c r="PAX35" s="707"/>
      <c r="PAY35" s="707"/>
      <c r="PAZ35" s="707"/>
      <c r="PBA35" s="707"/>
      <c r="PBB35" s="707"/>
      <c r="PBC35" s="707"/>
      <c r="PBD35" s="707"/>
      <c r="PBE35" s="707"/>
      <c r="PBF35" s="707"/>
      <c r="PBG35" s="707"/>
      <c r="PBH35" s="707"/>
      <c r="PBI35" s="707"/>
      <c r="PBJ35" s="707"/>
      <c r="PBK35" s="707"/>
      <c r="PBL35" s="707"/>
      <c r="PBM35" s="707"/>
      <c r="PBN35" s="707"/>
      <c r="PBO35" s="707"/>
      <c r="PBP35" s="707"/>
      <c r="PBQ35" s="707"/>
      <c r="PBR35" s="707"/>
      <c r="PBS35" s="707"/>
      <c r="PBT35" s="707"/>
      <c r="PBU35" s="707"/>
      <c r="PBV35" s="707"/>
      <c r="PBW35" s="707"/>
      <c r="PBX35" s="707"/>
      <c r="PBY35" s="707"/>
      <c r="PBZ35" s="707"/>
      <c r="PCA35" s="707"/>
      <c r="PCB35" s="707"/>
      <c r="PCC35" s="707"/>
      <c r="PCD35" s="707"/>
      <c r="PCE35" s="707"/>
      <c r="PCF35" s="707"/>
      <c r="PCG35" s="707"/>
      <c r="PCH35" s="707"/>
      <c r="PCI35" s="707"/>
      <c r="PCJ35" s="707"/>
      <c r="PCK35" s="707"/>
      <c r="PCL35" s="707"/>
      <c r="PCM35" s="707"/>
      <c r="PCN35" s="707"/>
      <c r="PCO35" s="707"/>
      <c r="PCP35" s="707"/>
      <c r="PCQ35" s="707"/>
      <c r="PCR35" s="707"/>
      <c r="PCS35" s="707"/>
      <c r="PCT35" s="707"/>
      <c r="PCU35" s="707"/>
      <c r="PCV35" s="707"/>
      <c r="PCW35" s="707"/>
      <c r="PCX35" s="707"/>
      <c r="PCY35" s="707"/>
      <c r="PCZ35" s="707"/>
      <c r="PDA35" s="707"/>
      <c r="PDB35" s="707"/>
      <c r="PDC35" s="707"/>
      <c r="PDD35" s="707"/>
      <c r="PDE35" s="707"/>
      <c r="PDF35" s="707"/>
      <c r="PDG35" s="707"/>
      <c r="PDH35" s="707"/>
      <c r="PDI35" s="707"/>
      <c r="PDJ35" s="707"/>
      <c r="PDK35" s="707"/>
      <c r="PDL35" s="707"/>
      <c r="PDM35" s="707"/>
      <c r="PDN35" s="707"/>
      <c r="PDO35" s="707"/>
      <c r="PDP35" s="707"/>
      <c r="PDQ35" s="707"/>
      <c r="PDR35" s="707"/>
      <c r="PDS35" s="707"/>
      <c r="PDT35" s="707"/>
      <c r="PDU35" s="707"/>
      <c r="PDV35" s="707"/>
      <c r="PDW35" s="707"/>
      <c r="PDX35" s="707"/>
      <c r="PDY35" s="707"/>
      <c r="PDZ35" s="707"/>
      <c r="PEA35" s="707"/>
      <c r="PEB35" s="707"/>
      <c r="PEC35" s="707"/>
      <c r="PED35" s="707"/>
      <c r="PEE35" s="707"/>
      <c r="PEF35" s="707"/>
      <c r="PEG35" s="707"/>
      <c r="PEH35" s="707"/>
      <c r="PEI35" s="707"/>
      <c r="PEJ35" s="707"/>
      <c r="PEK35" s="707"/>
      <c r="PEL35" s="707"/>
      <c r="PEM35" s="707"/>
      <c r="PEN35" s="707"/>
      <c r="PEO35" s="707"/>
      <c r="PEP35" s="707"/>
      <c r="PEQ35" s="707"/>
      <c r="PER35" s="707"/>
      <c r="PES35" s="707"/>
      <c r="PET35" s="707"/>
      <c r="PEU35" s="707"/>
      <c r="PEV35" s="707"/>
      <c r="PEW35" s="707"/>
      <c r="PEX35" s="707"/>
      <c r="PEY35" s="707"/>
      <c r="PEZ35" s="707"/>
      <c r="PFA35" s="707"/>
      <c r="PFB35" s="707"/>
      <c r="PFC35" s="707"/>
      <c r="PFD35" s="707"/>
      <c r="PFE35" s="707"/>
      <c r="PFF35" s="707"/>
      <c r="PFG35" s="707"/>
      <c r="PFH35" s="707"/>
      <c r="PFI35" s="707"/>
      <c r="PFJ35" s="707"/>
      <c r="PFK35" s="707"/>
      <c r="PFL35" s="707"/>
      <c r="PFM35" s="707"/>
      <c r="PFN35" s="707"/>
      <c r="PFO35" s="707"/>
      <c r="PFP35" s="707"/>
      <c r="PFQ35" s="707"/>
      <c r="PFR35" s="707"/>
      <c r="PFS35" s="707"/>
      <c r="PFT35" s="707"/>
      <c r="PFU35" s="707"/>
      <c r="PFV35" s="707"/>
      <c r="PFW35" s="707"/>
      <c r="PFX35" s="707"/>
      <c r="PFY35" s="707"/>
      <c r="PFZ35" s="707"/>
      <c r="PGA35" s="707"/>
      <c r="PGB35" s="707"/>
      <c r="PGC35" s="707"/>
      <c r="PGD35" s="707"/>
      <c r="PGE35" s="707"/>
      <c r="PGF35" s="707"/>
      <c r="PGG35" s="707"/>
      <c r="PGH35" s="707"/>
      <c r="PGI35" s="707"/>
      <c r="PGJ35" s="707"/>
      <c r="PGK35" s="707"/>
      <c r="PGL35" s="707"/>
      <c r="PGM35" s="707"/>
      <c r="PGN35" s="707"/>
      <c r="PGO35" s="707"/>
      <c r="PGP35" s="707"/>
      <c r="PGQ35" s="707"/>
      <c r="PGR35" s="707"/>
      <c r="PGS35" s="707"/>
      <c r="PGT35" s="707"/>
      <c r="PGU35" s="707"/>
      <c r="PGV35" s="707"/>
      <c r="PGW35" s="707"/>
      <c r="PGX35" s="707"/>
      <c r="PGY35" s="707"/>
      <c r="PGZ35" s="707"/>
      <c r="PHA35" s="707"/>
      <c r="PHB35" s="707"/>
      <c r="PHC35" s="707"/>
      <c r="PHD35" s="707"/>
      <c r="PHE35" s="707"/>
      <c r="PHF35" s="707"/>
      <c r="PHG35" s="707"/>
      <c r="PHH35" s="707"/>
      <c r="PHI35" s="707"/>
      <c r="PHJ35" s="707"/>
      <c r="PHK35" s="707"/>
      <c r="PHL35" s="707"/>
      <c r="PHM35" s="707"/>
      <c r="PHN35" s="707"/>
      <c r="PHO35" s="707"/>
      <c r="PHP35" s="707"/>
      <c r="PHQ35" s="707"/>
      <c r="PHR35" s="707"/>
      <c r="PHS35" s="707"/>
      <c r="PHT35" s="707"/>
      <c r="PHU35" s="707"/>
      <c r="PHV35" s="707"/>
      <c r="PHW35" s="707"/>
      <c r="PHX35" s="707"/>
      <c r="PHY35" s="707"/>
      <c r="PHZ35" s="707"/>
      <c r="PIA35" s="707"/>
      <c r="PIB35" s="707"/>
      <c r="PIC35" s="707"/>
      <c r="PID35" s="707"/>
      <c r="PIE35" s="707"/>
      <c r="PIF35" s="707"/>
      <c r="PIG35" s="707"/>
      <c r="PIH35" s="707"/>
      <c r="PII35" s="707"/>
      <c r="PIJ35" s="707"/>
      <c r="PIK35" s="707"/>
      <c r="PIL35" s="707"/>
      <c r="PIM35" s="707"/>
      <c r="PIN35" s="707"/>
      <c r="PIO35" s="707"/>
      <c r="PIP35" s="707"/>
      <c r="PIQ35" s="707"/>
      <c r="PIR35" s="707"/>
      <c r="PIS35" s="707"/>
      <c r="PIT35" s="707"/>
      <c r="PIU35" s="707"/>
      <c r="PIV35" s="707"/>
      <c r="PIW35" s="707"/>
      <c r="PIX35" s="707"/>
      <c r="PIY35" s="707"/>
      <c r="PIZ35" s="707"/>
      <c r="PJA35" s="707"/>
      <c r="PJB35" s="707"/>
      <c r="PJC35" s="707"/>
      <c r="PJD35" s="707"/>
      <c r="PJE35" s="707"/>
      <c r="PJF35" s="707"/>
      <c r="PJG35" s="707"/>
      <c r="PJH35" s="707"/>
      <c r="PJI35" s="707"/>
      <c r="PJJ35" s="707"/>
      <c r="PJK35" s="707"/>
      <c r="PJL35" s="707"/>
      <c r="PJM35" s="707"/>
      <c r="PJN35" s="707"/>
      <c r="PJO35" s="707"/>
      <c r="PJP35" s="707"/>
      <c r="PJQ35" s="707"/>
      <c r="PJR35" s="707"/>
      <c r="PJS35" s="707"/>
      <c r="PJT35" s="707"/>
      <c r="PJU35" s="707"/>
      <c r="PJV35" s="707"/>
      <c r="PJW35" s="707"/>
      <c r="PJX35" s="707"/>
      <c r="PJY35" s="707"/>
      <c r="PJZ35" s="707"/>
      <c r="PKA35" s="707"/>
      <c r="PKB35" s="707"/>
      <c r="PKC35" s="707"/>
      <c r="PKD35" s="707"/>
      <c r="PKE35" s="707"/>
      <c r="PKF35" s="707"/>
      <c r="PKG35" s="707"/>
      <c r="PKH35" s="707"/>
      <c r="PKI35" s="707"/>
      <c r="PKJ35" s="707"/>
      <c r="PKK35" s="707"/>
      <c r="PKL35" s="707"/>
      <c r="PKM35" s="707"/>
      <c r="PKN35" s="707"/>
      <c r="PKO35" s="707"/>
      <c r="PKP35" s="707"/>
      <c r="PKQ35" s="707"/>
      <c r="PKR35" s="707"/>
      <c r="PKS35" s="707"/>
      <c r="PKT35" s="707"/>
      <c r="PKU35" s="707"/>
      <c r="PKV35" s="707"/>
      <c r="PKW35" s="707"/>
      <c r="PKX35" s="707"/>
      <c r="PKY35" s="707"/>
      <c r="PKZ35" s="707"/>
      <c r="PLA35" s="707"/>
      <c r="PLB35" s="707"/>
      <c r="PLC35" s="707"/>
      <c r="PLD35" s="707"/>
      <c r="PLE35" s="707"/>
      <c r="PLF35" s="707"/>
      <c r="PLG35" s="707"/>
      <c r="PLH35" s="707"/>
      <c r="PLI35" s="707"/>
      <c r="PLJ35" s="707"/>
      <c r="PLK35" s="707"/>
      <c r="PLL35" s="707"/>
      <c r="PLM35" s="707"/>
      <c r="PLN35" s="707"/>
      <c r="PLO35" s="707"/>
      <c r="PLP35" s="707"/>
      <c r="PLQ35" s="707"/>
      <c r="PLR35" s="707"/>
      <c r="PLS35" s="707"/>
      <c r="PLT35" s="707"/>
      <c r="PLU35" s="707"/>
      <c r="PLV35" s="707"/>
      <c r="PLW35" s="707"/>
      <c r="PLX35" s="707"/>
      <c r="PLY35" s="707"/>
      <c r="PLZ35" s="707"/>
      <c r="PMA35" s="707"/>
      <c r="PMB35" s="707"/>
      <c r="PMC35" s="707"/>
      <c r="PMD35" s="707"/>
      <c r="PME35" s="707"/>
      <c r="PMF35" s="707"/>
      <c r="PMG35" s="707"/>
      <c r="PMH35" s="707"/>
      <c r="PMI35" s="707"/>
      <c r="PMJ35" s="707"/>
      <c r="PMK35" s="707"/>
      <c r="PML35" s="707"/>
      <c r="PMM35" s="707"/>
      <c r="PMN35" s="707"/>
      <c r="PMO35" s="707"/>
      <c r="PMP35" s="707"/>
      <c r="PMQ35" s="707"/>
      <c r="PMR35" s="707"/>
      <c r="PMS35" s="707"/>
      <c r="PMT35" s="707"/>
      <c r="PMU35" s="707"/>
      <c r="PMV35" s="707"/>
      <c r="PMW35" s="707"/>
      <c r="PMX35" s="707"/>
      <c r="PMY35" s="707"/>
      <c r="PMZ35" s="707"/>
      <c r="PNA35" s="707"/>
      <c r="PNB35" s="707"/>
      <c r="PNC35" s="707"/>
      <c r="PND35" s="707"/>
      <c r="PNE35" s="707"/>
      <c r="PNF35" s="707"/>
      <c r="PNG35" s="707"/>
      <c r="PNH35" s="707"/>
      <c r="PNI35" s="707"/>
      <c r="PNJ35" s="707"/>
      <c r="PNK35" s="707"/>
      <c r="PNL35" s="707"/>
      <c r="PNM35" s="707"/>
      <c r="PNN35" s="707"/>
      <c r="PNO35" s="707"/>
      <c r="PNP35" s="707"/>
      <c r="PNQ35" s="707"/>
      <c r="PNR35" s="707"/>
      <c r="PNS35" s="707"/>
      <c r="PNT35" s="707"/>
      <c r="PNU35" s="707"/>
      <c r="PNV35" s="707"/>
      <c r="PNW35" s="707"/>
      <c r="PNX35" s="707"/>
      <c r="PNY35" s="707"/>
      <c r="PNZ35" s="707"/>
      <c r="POA35" s="707"/>
      <c r="POB35" s="707"/>
      <c r="POC35" s="707"/>
      <c r="POD35" s="707"/>
      <c r="POE35" s="707"/>
      <c r="POF35" s="707"/>
      <c r="POG35" s="707"/>
      <c r="POH35" s="707"/>
      <c r="POI35" s="707"/>
      <c r="POJ35" s="707"/>
      <c r="POK35" s="707"/>
      <c r="POL35" s="707"/>
      <c r="POM35" s="707"/>
      <c r="PON35" s="707"/>
      <c r="POO35" s="707"/>
      <c r="POP35" s="707"/>
      <c r="POQ35" s="707"/>
      <c r="POR35" s="707"/>
      <c r="POS35" s="707"/>
      <c r="POT35" s="707"/>
      <c r="POU35" s="707"/>
      <c r="POV35" s="707"/>
      <c r="POW35" s="707"/>
      <c r="POX35" s="707"/>
      <c r="POY35" s="707"/>
      <c r="POZ35" s="707"/>
      <c r="PPA35" s="707"/>
      <c r="PPB35" s="707"/>
      <c r="PPC35" s="707"/>
      <c r="PPD35" s="707"/>
      <c r="PPE35" s="707"/>
      <c r="PPF35" s="707"/>
      <c r="PPG35" s="707"/>
      <c r="PPH35" s="707"/>
      <c r="PPI35" s="707"/>
      <c r="PPJ35" s="707"/>
      <c r="PPK35" s="707"/>
      <c r="PPL35" s="707"/>
      <c r="PPM35" s="707"/>
      <c r="PPN35" s="707"/>
      <c r="PPO35" s="707"/>
      <c r="PPP35" s="707"/>
      <c r="PPQ35" s="707"/>
      <c r="PPR35" s="707"/>
      <c r="PPS35" s="707"/>
      <c r="PPT35" s="707"/>
      <c r="PPU35" s="707"/>
      <c r="PPV35" s="707"/>
      <c r="PPW35" s="707"/>
      <c r="PPX35" s="707"/>
      <c r="PPY35" s="707"/>
      <c r="PPZ35" s="707"/>
      <c r="PQA35" s="707"/>
      <c r="PQB35" s="707"/>
      <c r="PQC35" s="707"/>
      <c r="PQD35" s="707"/>
      <c r="PQE35" s="707"/>
      <c r="PQF35" s="707"/>
      <c r="PQG35" s="707"/>
      <c r="PQH35" s="707"/>
      <c r="PQI35" s="707"/>
      <c r="PQJ35" s="707"/>
      <c r="PQK35" s="707"/>
      <c r="PQL35" s="707"/>
      <c r="PQM35" s="707"/>
      <c r="PQN35" s="707"/>
      <c r="PQO35" s="707"/>
      <c r="PQP35" s="707"/>
      <c r="PQQ35" s="707"/>
      <c r="PQR35" s="707"/>
      <c r="PQS35" s="707"/>
      <c r="PQT35" s="707"/>
      <c r="PQU35" s="707"/>
      <c r="PQV35" s="707"/>
      <c r="PQW35" s="707"/>
      <c r="PQX35" s="707"/>
      <c r="PQY35" s="707"/>
      <c r="PQZ35" s="707"/>
      <c r="PRA35" s="707"/>
      <c r="PRB35" s="707"/>
      <c r="PRC35" s="707"/>
      <c r="PRD35" s="707"/>
      <c r="PRE35" s="707"/>
      <c r="PRF35" s="707"/>
      <c r="PRG35" s="707"/>
      <c r="PRH35" s="707"/>
      <c r="PRI35" s="707"/>
      <c r="PRJ35" s="707"/>
      <c r="PRK35" s="707"/>
      <c r="PRL35" s="707"/>
      <c r="PRM35" s="707"/>
      <c r="PRN35" s="707"/>
      <c r="PRO35" s="707"/>
      <c r="PRP35" s="707"/>
      <c r="PRQ35" s="707"/>
      <c r="PRR35" s="707"/>
      <c r="PRS35" s="707"/>
      <c r="PRT35" s="707"/>
      <c r="PRU35" s="707"/>
      <c r="PRV35" s="707"/>
      <c r="PRW35" s="707"/>
      <c r="PRX35" s="707"/>
      <c r="PRY35" s="707"/>
      <c r="PRZ35" s="707"/>
      <c r="PSA35" s="707"/>
      <c r="PSB35" s="707"/>
      <c r="PSC35" s="707"/>
      <c r="PSD35" s="707"/>
      <c r="PSE35" s="707"/>
      <c r="PSF35" s="707"/>
      <c r="PSG35" s="707"/>
      <c r="PSH35" s="707"/>
      <c r="PSI35" s="707"/>
      <c r="PSJ35" s="707"/>
      <c r="PSK35" s="707"/>
      <c r="PSL35" s="707"/>
      <c r="PSM35" s="707"/>
      <c r="PSN35" s="707"/>
      <c r="PSO35" s="707"/>
      <c r="PSP35" s="707"/>
      <c r="PSQ35" s="707"/>
      <c r="PSR35" s="707"/>
      <c r="PSS35" s="707"/>
      <c r="PST35" s="707"/>
      <c r="PSU35" s="707"/>
      <c r="PSV35" s="707"/>
      <c r="PSW35" s="707"/>
      <c r="PSX35" s="707"/>
      <c r="PSY35" s="707"/>
      <c r="PSZ35" s="707"/>
      <c r="PTA35" s="707"/>
      <c r="PTB35" s="707"/>
      <c r="PTC35" s="707"/>
      <c r="PTD35" s="707"/>
      <c r="PTE35" s="707"/>
      <c r="PTF35" s="707"/>
      <c r="PTG35" s="707"/>
      <c r="PTH35" s="707"/>
      <c r="PTI35" s="707"/>
      <c r="PTJ35" s="707"/>
      <c r="PTK35" s="707"/>
      <c r="PTL35" s="707"/>
      <c r="PTM35" s="707"/>
      <c r="PTN35" s="707"/>
      <c r="PTO35" s="707"/>
      <c r="PTP35" s="707"/>
      <c r="PTQ35" s="707"/>
      <c r="PTR35" s="707"/>
      <c r="PTS35" s="707"/>
      <c r="PTT35" s="707"/>
      <c r="PTU35" s="707"/>
      <c r="PTV35" s="707"/>
      <c r="PTW35" s="707"/>
      <c r="PTX35" s="707"/>
      <c r="PTY35" s="707"/>
      <c r="PTZ35" s="707"/>
      <c r="PUA35" s="707"/>
      <c r="PUB35" s="707"/>
      <c r="PUC35" s="707"/>
      <c r="PUD35" s="707"/>
      <c r="PUE35" s="707"/>
      <c r="PUF35" s="707"/>
      <c r="PUG35" s="707"/>
      <c r="PUH35" s="707"/>
      <c r="PUI35" s="707"/>
      <c r="PUJ35" s="707"/>
      <c r="PUK35" s="707"/>
      <c r="PUL35" s="707"/>
      <c r="PUM35" s="707"/>
      <c r="PUN35" s="707"/>
      <c r="PUO35" s="707"/>
      <c r="PUP35" s="707"/>
      <c r="PUQ35" s="707"/>
      <c r="PUR35" s="707"/>
      <c r="PUS35" s="707"/>
      <c r="PUT35" s="707"/>
      <c r="PUU35" s="707"/>
      <c r="PUV35" s="707"/>
      <c r="PUW35" s="707"/>
      <c r="PUX35" s="707"/>
      <c r="PUY35" s="707"/>
      <c r="PUZ35" s="707"/>
      <c r="PVA35" s="707"/>
      <c r="PVB35" s="707"/>
      <c r="PVC35" s="707"/>
      <c r="PVD35" s="707"/>
      <c r="PVE35" s="707"/>
      <c r="PVF35" s="707"/>
      <c r="PVG35" s="707"/>
      <c r="PVH35" s="707"/>
      <c r="PVI35" s="707"/>
      <c r="PVJ35" s="707"/>
      <c r="PVK35" s="707"/>
      <c r="PVL35" s="707"/>
      <c r="PVM35" s="707"/>
      <c r="PVN35" s="707"/>
      <c r="PVO35" s="707"/>
      <c r="PVP35" s="707"/>
      <c r="PVQ35" s="707"/>
      <c r="PVR35" s="707"/>
      <c r="PVS35" s="707"/>
      <c r="PVT35" s="707"/>
      <c r="PVU35" s="707"/>
      <c r="PVV35" s="707"/>
      <c r="PVW35" s="707"/>
      <c r="PVX35" s="707"/>
      <c r="PVY35" s="707"/>
      <c r="PVZ35" s="707"/>
      <c r="PWA35" s="707"/>
      <c r="PWB35" s="707"/>
      <c r="PWC35" s="707"/>
      <c r="PWD35" s="707"/>
      <c r="PWE35" s="707"/>
      <c r="PWF35" s="707"/>
      <c r="PWG35" s="707"/>
      <c r="PWH35" s="707"/>
      <c r="PWI35" s="707"/>
      <c r="PWJ35" s="707"/>
      <c r="PWK35" s="707"/>
      <c r="PWL35" s="707"/>
      <c r="PWM35" s="707"/>
      <c r="PWN35" s="707"/>
      <c r="PWO35" s="707"/>
      <c r="PWP35" s="707"/>
      <c r="PWQ35" s="707"/>
      <c r="PWR35" s="707"/>
      <c r="PWS35" s="707"/>
      <c r="PWT35" s="707"/>
      <c r="PWU35" s="707"/>
      <c r="PWV35" s="707"/>
      <c r="PWW35" s="707"/>
      <c r="PWX35" s="707"/>
      <c r="PWY35" s="707"/>
      <c r="PWZ35" s="707"/>
      <c r="PXA35" s="707"/>
      <c r="PXB35" s="707"/>
      <c r="PXC35" s="707"/>
      <c r="PXD35" s="707"/>
      <c r="PXE35" s="707"/>
      <c r="PXF35" s="707"/>
      <c r="PXG35" s="707"/>
      <c r="PXH35" s="707"/>
      <c r="PXI35" s="707"/>
      <c r="PXJ35" s="707"/>
      <c r="PXK35" s="707"/>
      <c r="PXL35" s="707"/>
      <c r="PXM35" s="707"/>
      <c r="PXN35" s="707"/>
      <c r="PXO35" s="707"/>
      <c r="PXP35" s="707"/>
      <c r="PXQ35" s="707"/>
      <c r="PXR35" s="707"/>
      <c r="PXS35" s="707"/>
      <c r="PXT35" s="707"/>
      <c r="PXU35" s="707"/>
      <c r="PXV35" s="707"/>
      <c r="PXW35" s="707"/>
      <c r="PXX35" s="707"/>
      <c r="PXY35" s="707"/>
      <c r="PXZ35" s="707"/>
      <c r="PYA35" s="707"/>
      <c r="PYB35" s="707"/>
      <c r="PYC35" s="707"/>
      <c r="PYD35" s="707"/>
      <c r="PYE35" s="707"/>
      <c r="PYF35" s="707"/>
      <c r="PYG35" s="707"/>
      <c r="PYH35" s="707"/>
      <c r="PYI35" s="707"/>
      <c r="PYJ35" s="707"/>
      <c r="PYK35" s="707"/>
      <c r="PYL35" s="707"/>
      <c r="PYM35" s="707"/>
      <c r="PYN35" s="707"/>
      <c r="PYO35" s="707"/>
      <c r="PYP35" s="707"/>
      <c r="PYQ35" s="707"/>
      <c r="PYR35" s="707"/>
      <c r="PYS35" s="707"/>
      <c r="PYT35" s="707"/>
      <c r="PYU35" s="707"/>
      <c r="PYV35" s="707"/>
      <c r="PYW35" s="707"/>
      <c r="PYX35" s="707"/>
      <c r="PYY35" s="707"/>
      <c r="PYZ35" s="707"/>
      <c r="PZA35" s="707"/>
      <c r="PZB35" s="707"/>
      <c r="PZC35" s="707"/>
      <c r="PZD35" s="707"/>
      <c r="PZE35" s="707"/>
      <c r="PZF35" s="707"/>
      <c r="PZG35" s="707"/>
      <c r="PZH35" s="707"/>
      <c r="PZI35" s="707"/>
      <c r="PZJ35" s="707"/>
      <c r="PZK35" s="707"/>
      <c r="PZL35" s="707"/>
      <c r="PZM35" s="707"/>
      <c r="PZN35" s="707"/>
      <c r="PZO35" s="707"/>
      <c r="PZP35" s="707"/>
      <c r="PZQ35" s="707"/>
      <c r="PZR35" s="707"/>
      <c r="PZS35" s="707"/>
      <c r="PZT35" s="707"/>
      <c r="PZU35" s="707"/>
      <c r="PZV35" s="707"/>
      <c r="PZW35" s="707"/>
      <c r="PZX35" s="707"/>
      <c r="PZY35" s="707"/>
      <c r="PZZ35" s="707"/>
      <c r="QAA35" s="707"/>
      <c r="QAB35" s="707"/>
      <c r="QAC35" s="707"/>
      <c r="QAD35" s="707"/>
      <c r="QAE35" s="707"/>
      <c r="QAF35" s="707"/>
      <c r="QAG35" s="707"/>
      <c r="QAH35" s="707"/>
      <c r="QAI35" s="707"/>
      <c r="QAJ35" s="707"/>
      <c r="QAK35" s="707"/>
      <c r="QAL35" s="707"/>
      <c r="QAM35" s="707"/>
      <c r="QAN35" s="707"/>
      <c r="QAO35" s="707"/>
      <c r="QAP35" s="707"/>
      <c r="QAQ35" s="707"/>
      <c r="QAR35" s="707"/>
      <c r="QAS35" s="707"/>
      <c r="QAT35" s="707"/>
      <c r="QAU35" s="707"/>
      <c r="QAV35" s="707"/>
      <c r="QAW35" s="707"/>
      <c r="QAX35" s="707"/>
      <c r="QAY35" s="707"/>
      <c r="QAZ35" s="707"/>
      <c r="QBA35" s="707"/>
      <c r="QBB35" s="707"/>
      <c r="QBC35" s="707"/>
      <c r="QBD35" s="707"/>
      <c r="QBE35" s="707"/>
      <c r="QBF35" s="707"/>
      <c r="QBG35" s="707"/>
      <c r="QBH35" s="707"/>
      <c r="QBI35" s="707"/>
      <c r="QBJ35" s="707"/>
      <c r="QBK35" s="707"/>
      <c r="QBL35" s="707"/>
      <c r="QBM35" s="707"/>
      <c r="QBN35" s="707"/>
      <c r="QBO35" s="707"/>
      <c r="QBP35" s="707"/>
      <c r="QBQ35" s="707"/>
      <c r="QBR35" s="707"/>
      <c r="QBS35" s="707"/>
      <c r="QBT35" s="707"/>
      <c r="QBU35" s="707"/>
      <c r="QBV35" s="707"/>
      <c r="QBW35" s="707"/>
      <c r="QBX35" s="707"/>
      <c r="QBY35" s="707"/>
      <c r="QBZ35" s="707"/>
      <c r="QCA35" s="707"/>
      <c r="QCB35" s="707"/>
      <c r="QCC35" s="707"/>
      <c r="QCD35" s="707"/>
      <c r="QCE35" s="707"/>
      <c r="QCF35" s="707"/>
      <c r="QCG35" s="707"/>
      <c r="QCH35" s="707"/>
      <c r="QCI35" s="707"/>
      <c r="QCJ35" s="707"/>
      <c r="QCK35" s="707"/>
      <c r="QCL35" s="707"/>
      <c r="QCM35" s="707"/>
      <c r="QCN35" s="707"/>
      <c r="QCO35" s="707"/>
      <c r="QCP35" s="707"/>
      <c r="QCQ35" s="707"/>
      <c r="QCR35" s="707"/>
      <c r="QCS35" s="707"/>
      <c r="QCT35" s="707"/>
      <c r="QCU35" s="707"/>
      <c r="QCV35" s="707"/>
      <c r="QCW35" s="707"/>
      <c r="QCX35" s="707"/>
      <c r="QCY35" s="707"/>
      <c r="QCZ35" s="707"/>
      <c r="QDA35" s="707"/>
      <c r="QDB35" s="707"/>
      <c r="QDC35" s="707"/>
      <c r="QDD35" s="707"/>
      <c r="QDE35" s="707"/>
      <c r="QDF35" s="707"/>
      <c r="QDG35" s="707"/>
      <c r="QDH35" s="707"/>
      <c r="QDI35" s="707"/>
      <c r="QDJ35" s="707"/>
      <c r="QDK35" s="707"/>
      <c r="QDL35" s="707"/>
      <c r="QDM35" s="707"/>
      <c r="QDN35" s="707"/>
      <c r="QDO35" s="707"/>
      <c r="QDP35" s="707"/>
      <c r="QDQ35" s="707"/>
      <c r="QDR35" s="707"/>
      <c r="QDS35" s="707"/>
      <c r="QDT35" s="707"/>
      <c r="QDU35" s="707"/>
      <c r="QDV35" s="707"/>
      <c r="QDW35" s="707"/>
      <c r="QDX35" s="707"/>
      <c r="QDY35" s="707"/>
      <c r="QDZ35" s="707"/>
      <c r="QEA35" s="707"/>
      <c r="QEB35" s="707"/>
      <c r="QEC35" s="707"/>
      <c r="QED35" s="707"/>
      <c r="QEE35" s="707"/>
      <c r="QEF35" s="707"/>
      <c r="QEG35" s="707"/>
      <c r="QEH35" s="707"/>
      <c r="QEI35" s="707"/>
      <c r="QEJ35" s="707"/>
      <c r="QEK35" s="707"/>
      <c r="QEL35" s="707"/>
      <c r="QEM35" s="707"/>
      <c r="QEN35" s="707"/>
      <c r="QEO35" s="707"/>
      <c r="QEP35" s="707"/>
      <c r="QEQ35" s="707"/>
      <c r="QER35" s="707"/>
      <c r="QES35" s="707"/>
      <c r="QET35" s="707"/>
      <c r="QEU35" s="707"/>
      <c r="QEV35" s="707"/>
      <c r="QEW35" s="707"/>
      <c r="QEX35" s="707"/>
      <c r="QEY35" s="707"/>
      <c r="QEZ35" s="707"/>
      <c r="QFA35" s="707"/>
      <c r="QFB35" s="707"/>
      <c r="QFC35" s="707"/>
      <c r="QFD35" s="707"/>
      <c r="QFE35" s="707"/>
      <c r="QFF35" s="707"/>
      <c r="QFG35" s="707"/>
      <c r="QFH35" s="707"/>
      <c r="QFI35" s="707"/>
      <c r="QFJ35" s="707"/>
      <c r="QFK35" s="707"/>
      <c r="QFL35" s="707"/>
      <c r="QFM35" s="707"/>
      <c r="QFN35" s="707"/>
      <c r="QFO35" s="707"/>
      <c r="QFP35" s="707"/>
      <c r="QFQ35" s="707"/>
      <c r="QFR35" s="707"/>
      <c r="QFS35" s="707"/>
      <c r="QFT35" s="707"/>
      <c r="QFU35" s="707"/>
      <c r="QFV35" s="707"/>
      <c r="QFW35" s="707"/>
      <c r="QFX35" s="707"/>
      <c r="QFY35" s="707"/>
      <c r="QFZ35" s="707"/>
      <c r="QGA35" s="707"/>
      <c r="QGB35" s="707"/>
      <c r="QGC35" s="707"/>
      <c r="QGD35" s="707"/>
      <c r="QGE35" s="707"/>
      <c r="QGF35" s="707"/>
      <c r="QGG35" s="707"/>
      <c r="QGH35" s="707"/>
      <c r="QGI35" s="707"/>
      <c r="QGJ35" s="707"/>
      <c r="QGK35" s="707"/>
      <c r="QGL35" s="707"/>
      <c r="QGM35" s="707"/>
      <c r="QGN35" s="707"/>
      <c r="QGO35" s="707"/>
      <c r="QGP35" s="707"/>
      <c r="QGQ35" s="707"/>
      <c r="QGR35" s="707"/>
      <c r="QGS35" s="707"/>
      <c r="QGT35" s="707"/>
      <c r="QGU35" s="707"/>
      <c r="QGV35" s="707"/>
      <c r="QGW35" s="707"/>
      <c r="QGX35" s="707"/>
      <c r="QGY35" s="707"/>
      <c r="QGZ35" s="707"/>
      <c r="QHA35" s="707"/>
      <c r="QHB35" s="707"/>
      <c r="QHC35" s="707"/>
      <c r="QHD35" s="707"/>
      <c r="QHE35" s="707"/>
      <c r="QHF35" s="707"/>
      <c r="QHG35" s="707"/>
      <c r="QHH35" s="707"/>
      <c r="QHI35" s="707"/>
      <c r="QHJ35" s="707"/>
      <c r="QHK35" s="707"/>
      <c r="QHL35" s="707"/>
      <c r="QHM35" s="707"/>
      <c r="QHN35" s="707"/>
      <c r="QHO35" s="707"/>
      <c r="QHP35" s="707"/>
      <c r="QHQ35" s="707"/>
      <c r="QHR35" s="707"/>
      <c r="QHS35" s="707"/>
      <c r="QHT35" s="707"/>
      <c r="QHU35" s="707"/>
      <c r="QHV35" s="707"/>
      <c r="QHW35" s="707"/>
      <c r="QHX35" s="707"/>
      <c r="QHY35" s="707"/>
      <c r="QHZ35" s="707"/>
      <c r="QIA35" s="707"/>
      <c r="QIB35" s="707"/>
      <c r="QIC35" s="707"/>
      <c r="QID35" s="707"/>
      <c r="QIE35" s="707"/>
      <c r="QIF35" s="707"/>
      <c r="QIG35" s="707"/>
      <c r="QIH35" s="707"/>
      <c r="QII35" s="707"/>
      <c r="QIJ35" s="707"/>
      <c r="QIK35" s="707"/>
      <c r="QIL35" s="707"/>
      <c r="QIM35" s="707"/>
      <c r="QIN35" s="707"/>
      <c r="QIO35" s="707"/>
      <c r="QIP35" s="707"/>
      <c r="QIQ35" s="707"/>
      <c r="QIR35" s="707"/>
      <c r="QIS35" s="707"/>
      <c r="QIT35" s="707"/>
      <c r="QIU35" s="707"/>
      <c r="QIV35" s="707"/>
      <c r="QIW35" s="707"/>
      <c r="QIX35" s="707"/>
      <c r="QIY35" s="707"/>
      <c r="QIZ35" s="707"/>
      <c r="QJA35" s="707"/>
      <c r="QJB35" s="707"/>
      <c r="QJC35" s="707"/>
      <c r="QJD35" s="707"/>
      <c r="QJE35" s="707"/>
      <c r="QJF35" s="707"/>
      <c r="QJG35" s="707"/>
      <c r="QJH35" s="707"/>
      <c r="QJI35" s="707"/>
      <c r="QJJ35" s="707"/>
      <c r="QJK35" s="707"/>
      <c r="QJL35" s="707"/>
      <c r="QJM35" s="707"/>
      <c r="QJN35" s="707"/>
      <c r="QJO35" s="707"/>
      <c r="QJP35" s="707"/>
      <c r="QJQ35" s="707"/>
      <c r="QJR35" s="707"/>
      <c r="QJS35" s="707"/>
      <c r="QJT35" s="707"/>
      <c r="QJU35" s="707"/>
      <c r="QJV35" s="707"/>
      <c r="QJW35" s="707"/>
      <c r="QJX35" s="707"/>
      <c r="QJY35" s="707"/>
      <c r="QJZ35" s="707"/>
      <c r="QKA35" s="707"/>
      <c r="QKB35" s="707"/>
      <c r="QKC35" s="707"/>
      <c r="QKD35" s="707"/>
      <c r="QKE35" s="707"/>
      <c r="QKF35" s="707"/>
      <c r="QKG35" s="707"/>
      <c r="QKH35" s="707"/>
      <c r="QKI35" s="707"/>
      <c r="QKJ35" s="707"/>
      <c r="QKK35" s="707"/>
      <c r="QKL35" s="707"/>
      <c r="QKM35" s="707"/>
      <c r="QKN35" s="707"/>
      <c r="QKO35" s="707"/>
      <c r="QKP35" s="707"/>
      <c r="QKQ35" s="707"/>
      <c r="QKR35" s="707"/>
      <c r="QKS35" s="707"/>
      <c r="QKT35" s="707"/>
      <c r="QKU35" s="707"/>
      <c r="QKV35" s="707"/>
      <c r="QKW35" s="707"/>
      <c r="QKX35" s="707"/>
      <c r="QKY35" s="707"/>
      <c r="QKZ35" s="707"/>
      <c r="QLA35" s="707"/>
      <c r="QLB35" s="707"/>
      <c r="QLC35" s="707"/>
      <c r="QLD35" s="707"/>
      <c r="QLE35" s="707"/>
      <c r="QLF35" s="707"/>
      <c r="QLG35" s="707"/>
      <c r="QLH35" s="707"/>
      <c r="QLI35" s="707"/>
      <c r="QLJ35" s="707"/>
      <c r="QLK35" s="707"/>
      <c r="QLL35" s="707"/>
      <c r="QLM35" s="707"/>
      <c r="QLN35" s="707"/>
      <c r="QLO35" s="707"/>
      <c r="QLP35" s="707"/>
      <c r="QLQ35" s="707"/>
      <c r="QLR35" s="707"/>
      <c r="QLS35" s="707"/>
      <c r="QLT35" s="707"/>
      <c r="QLU35" s="707"/>
      <c r="QLV35" s="707"/>
      <c r="QLW35" s="707"/>
      <c r="QLX35" s="707"/>
      <c r="QLY35" s="707"/>
      <c r="QLZ35" s="707"/>
      <c r="QMA35" s="707"/>
      <c r="QMB35" s="707"/>
      <c r="QMC35" s="707"/>
      <c r="QMD35" s="707"/>
      <c r="QME35" s="707"/>
      <c r="QMF35" s="707"/>
      <c r="QMG35" s="707"/>
      <c r="QMH35" s="707"/>
      <c r="QMI35" s="707"/>
      <c r="QMJ35" s="707"/>
      <c r="QMK35" s="707"/>
      <c r="QML35" s="707"/>
      <c r="QMM35" s="707"/>
      <c r="QMN35" s="707"/>
      <c r="QMO35" s="707"/>
      <c r="QMP35" s="707"/>
      <c r="QMQ35" s="707"/>
      <c r="QMR35" s="707"/>
      <c r="QMS35" s="707"/>
      <c r="QMT35" s="707"/>
      <c r="QMU35" s="707"/>
      <c r="QMV35" s="707"/>
      <c r="QMW35" s="707"/>
      <c r="QMX35" s="707"/>
      <c r="QMY35" s="707"/>
      <c r="QMZ35" s="707"/>
      <c r="QNA35" s="707"/>
      <c r="QNB35" s="707"/>
      <c r="QNC35" s="707"/>
      <c r="QND35" s="707"/>
      <c r="QNE35" s="707"/>
      <c r="QNF35" s="707"/>
      <c r="QNG35" s="707"/>
      <c r="QNH35" s="707"/>
      <c r="QNI35" s="707"/>
      <c r="QNJ35" s="707"/>
      <c r="QNK35" s="707"/>
      <c r="QNL35" s="707"/>
      <c r="QNM35" s="707"/>
      <c r="QNN35" s="707"/>
      <c r="QNO35" s="707"/>
      <c r="QNP35" s="707"/>
      <c r="QNQ35" s="707"/>
      <c r="QNR35" s="707"/>
      <c r="QNS35" s="707"/>
      <c r="QNT35" s="707"/>
      <c r="QNU35" s="707"/>
      <c r="QNV35" s="707"/>
      <c r="QNW35" s="707"/>
      <c r="QNX35" s="707"/>
      <c r="QNY35" s="707"/>
      <c r="QNZ35" s="707"/>
      <c r="QOA35" s="707"/>
      <c r="QOB35" s="707"/>
      <c r="QOC35" s="707"/>
      <c r="QOD35" s="707"/>
      <c r="QOE35" s="707"/>
      <c r="QOF35" s="707"/>
      <c r="QOG35" s="707"/>
      <c r="QOH35" s="707"/>
      <c r="QOI35" s="707"/>
      <c r="QOJ35" s="707"/>
      <c r="QOK35" s="707"/>
      <c r="QOL35" s="707"/>
      <c r="QOM35" s="707"/>
      <c r="QON35" s="707"/>
      <c r="QOO35" s="707"/>
      <c r="QOP35" s="707"/>
      <c r="QOQ35" s="707"/>
      <c r="QOR35" s="707"/>
      <c r="QOS35" s="707"/>
      <c r="QOT35" s="707"/>
      <c r="QOU35" s="707"/>
      <c r="QOV35" s="707"/>
      <c r="QOW35" s="707"/>
      <c r="QOX35" s="707"/>
      <c r="QOY35" s="707"/>
      <c r="QOZ35" s="707"/>
      <c r="QPA35" s="707"/>
      <c r="QPB35" s="707"/>
      <c r="QPC35" s="707"/>
      <c r="QPD35" s="707"/>
      <c r="QPE35" s="707"/>
      <c r="QPF35" s="707"/>
      <c r="QPG35" s="707"/>
      <c r="QPH35" s="707"/>
      <c r="QPI35" s="707"/>
      <c r="QPJ35" s="707"/>
      <c r="QPK35" s="707"/>
      <c r="QPL35" s="707"/>
      <c r="QPM35" s="707"/>
      <c r="QPN35" s="707"/>
      <c r="QPO35" s="707"/>
      <c r="QPP35" s="707"/>
      <c r="QPQ35" s="707"/>
      <c r="QPR35" s="707"/>
      <c r="QPS35" s="707"/>
      <c r="QPT35" s="707"/>
      <c r="QPU35" s="707"/>
      <c r="QPV35" s="707"/>
      <c r="QPW35" s="707"/>
      <c r="QPX35" s="707"/>
      <c r="QPY35" s="707"/>
      <c r="QPZ35" s="707"/>
      <c r="QQA35" s="707"/>
      <c r="QQB35" s="707"/>
      <c r="QQC35" s="707"/>
      <c r="QQD35" s="707"/>
      <c r="QQE35" s="707"/>
      <c r="QQF35" s="707"/>
      <c r="QQG35" s="707"/>
      <c r="QQH35" s="707"/>
      <c r="QQI35" s="707"/>
      <c r="QQJ35" s="707"/>
      <c r="QQK35" s="707"/>
      <c r="QQL35" s="707"/>
      <c r="QQM35" s="707"/>
      <c r="QQN35" s="707"/>
      <c r="QQO35" s="707"/>
      <c r="QQP35" s="707"/>
      <c r="QQQ35" s="707"/>
      <c r="QQR35" s="707"/>
      <c r="QQS35" s="707"/>
      <c r="QQT35" s="707"/>
      <c r="QQU35" s="707"/>
      <c r="QQV35" s="707"/>
      <c r="QQW35" s="707"/>
      <c r="QQX35" s="707"/>
      <c r="QQY35" s="707"/>
      <c r="QQZ35" s="707"/>
      <c r="QRA35" s="707"/>
      <c r="QRB35" s="707"/>
      <c r="QRC35" s="707"/>
      <c r="QRD35" s="707"/>
      <c r="QRE35" s="707"/>
      <c r="QRF35" s="707"/>
      <c r="QRG35" s="707"/>
      <c r="QRH35" s="707"/>
      <c r="QRI35" s="707"/>
      <c r="QRJ35" s="707"/>
      <c r="QRK35" s="707"/>
      <c r="QRL35" s="707"/>
      <c r="QRM35" s="707"/>
      <c r="QRN35" s="707"/>
      <c r="QRO35" s="707"/>
      <c r="QRP35" s="707"/>
      <c r="QRQ35" s="707"/>
      <c r="QRR35" s="707"/>
      <c r="QRS35" s="707"/>
      <c r="QRT35" s="707"/>
      <c r="QRU35" s="707"/>
      <c r="QRV35" s="707"/>
      <c r="QRW35" s="707"/>
      <c r="QRX35" s="707"/>
      <c r="QRY35" s="707"/>
      <c r="QRZ35" s="707"/>
      <c r="QSA35" s="707"/>
      <c r="QSB35" s="707"/>
      <c r="QSC35" s="707"/>
      <c r="QSD35" s="707"/>
      <c r="QSE35" s="707"/>
      <c r="QSF35" s="707"/>
      <c r="QSG35" s="707"/>
      <c r="QSH35" s="707"/>
      <c r="QSI35" s="707"/>
      <c r="QSJ35" s="707"/>
      <c r="QSK35" s="707"/>
      <c r="QSL35" s="707"/>
      <c r="QSM35" s="707"/>
      <c r="QSN35" s="707"/>
      <c r="QSO35" s="707"/>
      <c r="QSP35" s="707"/>
      <c r="QSQ35" s="707"/>
      <c r="QSR35" s="707"/>
      <c r="QSS35" s="707"/>
      <c r="QST35" s="707"/>
      <c r="QSU35" s="707"/>
      <c r="QSV35" s="707"/>
      <c r="QSW35" s="707"/>
      <c r="QSX35" s="707"/>
      <c r="QSY35" s="707"/>
      <c r="QSZ35" s="707"/>
      <c r="QTA35" s="707"/>
      <c r="QTB35" s="707"/>
      <c r="QTC35" s="707"/>
      <c r="QTD35" s="707"/>
      <c r="QTE35" s="707"/>
      <c r="QTF35" s="707"/>
      <c r="QTG35" s="707"/>
      <c r="QTH35" s="707"/>
      <c r="QTI35" s="707"/>
      <c r="QTJ35" s="707"/>
      <c r="QTK35" s="707"/>
      <c r="QTL35" s="707"/>
      <c r="QTM35" s="707"/>
      <c r="QTN35" s="707"/>
      <c r="QTO35" s="707"/>
      <c r="QTP35" s="707"/>
      <c r="QTQ35" s="707"/>
      <c r="QTR35" s="707"/>
      <c r="QTS35" s="707"/>
      <c r="QTT35" s="707"/>
      <c r="QTU35" s="707"/>
      <c r="QTV35" s="707"/>
      <c r="QTW35" s="707"/>
      <c r="QTX35" s="707"/>
      <c r="QTY35" s="707"/>
      <c r="QTZ35" s="707"/>
      <c r="QUA35" s="707"/>
      <c r="QUB35" s="707"/>
      <c r="QUC35" s="707"/>
      <c r="QUD35" s="707"/>
      <c r="QUE35" s="707"/>
      <c r="QUF35" s="707"/>
      <c r="QUG35" s="707"/>
      <c r="QUH35" s="707"/>
      <c r="QUI35" s="707"/>
      <c r="QUJ35" s="707"/>
      <c r="QUK35" s="707"/>
      <c r="QUL35" s="707"/>
      <c r="QUM35" s="707"/>
      <c r="QUN35" s="707"/>
      <c r="QUO35" s="707"/>
      <c r="QUP35" s="707"/>
      <c r="QUQ35" s="707"/>
      <c r="QUR35" s="707"/>
      <c r="QUS35" s="707"/>
      <c r="QUT35" s="707"/>
      <c r="QUU35" s="707"/>
      <c r="QUV35" s="707"/>
      <c r="QUW35" s="707"/>
      <c r="QUX35" s="707"/>
      <c r="QUY35" s="707"/>
      <c r="QUZ35" s="707"/>
      <c r="QVA35" s="707"/>
      <c r="QVB35" s="707"/>
      <c r="QVC35" s="707"/>
      <c r="QVD35" s="707"/>
      <c r="QVE35" s="707"/>
      <c r="QVF35" s="707"/>
      <c r="QVG35" s="707"/>
      <c r="QVH35" s="707"/>
      <c r="QVI35" s="707"/>
      <c r="QVJ35" s="707"/>
      <c r="QVK35" s="707"/>
      <c r="QVL35" s="707"/>
      <c r="QVM35" s="707"/>
      <c r="QVN35" s="707"/>
      <c r="QVO35" s="707"/>
      <c r="QVP35" s="707"/>
      <c r="QVQ35" s="707"/>
      <c r="QVR35" s="707"/>
      <c r="QVS35" s="707"/>
      <c r="QVT35" s="707"/>
      <c r="QVU35" s="707"/>
      <c r="QVV35" s="707"/>
      <c r="QVW35" s="707"/>
      <c r="QVX35" s="707"/>
      <c r="QVY35" s="707"/>
      <c r="QVZ35" s="707"/>
      <c r="QWA35" s="707"/>
      <c r="QWB35" s="707"/>
      <c r="QWC35" s="707"/>
      <c r="QWD35" s="707"/>
      <c r="QWE35" s="707"/>
      <c r="QWF35" s="707"/>
      <c r="QWG35" s="707"/>
      <c r="QWH35" s="707"/>
      <c r="QWI35" s="707"/>
      <c r="QWJ35" s="707"/>
      <c r="QWK35" s="707"/>
      <c r="QWL35" s="707"/>
      <c r="QWM35" s="707"/>
      <c r="QWN35" s="707"/>
      <c r="QWO35" s="707"/>
      <c r="QWP35" s="707"/>
      <c r="QWQ35" s="707"/>
      <c r="QWR35" s="707"/>
      <c r="QWS35" s="707"/>
      <c r="QWT35" s="707"/>
      <c r="QWU35" s="707"/>
      <c r="QWV35" s="707"/>
      <c r="QWW35" s="707"/>
      <c r="QWX35" s="707"/>
      <c r="QWY35" s="707"/>
      <c r="QWZ35" s="707"/>
      <c r="QXA35" s="707"/>
      <c r="QXB35" s="707"/>
      <c r="QXC35" s="707"/>
      <c r="QXD35" s="707"/>
      <c r="QXE35" s="707"/>
      <c r="QXF35" s="707"/>
      <c r="QXG35" s="707"/>
      <c r="QXH35" s="707"/>
      <c r="QXI35" s="707"/>
      <c r="QXJ35" s="707"/>
      <c r="QXK35" s="707"/>
      <c r="QXL35" s="707"/>
      <c r="QXM35" s="707"/>
      <c r="QXN35" s="707"/>
      <c r="QXO35" s="707"/>
      <c r="QXP35" s="707"/>
      <c r="QXQ35" s="707"/>
      <c r="QXR35" s="707"/>
      <c r="QXS35" s="707"/>
      <c r="QXT35" s="707"/>
      <c r="QXU35" s="707"/>
      <c r="QXV35" s="707"/>
      <c r="QXW35" s="707"/>
      <c r="QXX35" s="707"/>
      <c r="QXY35" s="707"/>
      <c r="QXZ35" s="707"/>
      <c r="QYA35" s="707"/>
      <c r="QYB35" s="707"/>
      <c r="QYC35" s="707"/>
      <c r="QYD35" s="707"/>
      <c r="QYE35" s="707"/>
      <c r="QYF35" s="707"/>
      <c r="QYG35" s="707"/>
      <c r="QYH35" s="707"/>
      <c r="QYI35" s="707"/>
      <c r="QYJ35" s="707"/>
      <c r="QYK35" s="707"/>
      <c r="QYL35" s="707"/>
      <c r="QYM35" s="707"/>
      <c r="QYN35" s="707"/>
      <c r="QYO35" s="707"/>
      <c r="QYP35" s="707"/>
      <c r="QYQ35" s="707"/>
      <c r="QYR35" s="707"/>
      <c r="QYS35" s="707"/>
      <c r="QYT35" s="707"/>
      <c r="QYU35" s="707"/>
      <c r="QYV35" s="707"/>
      <c r="QYW35" s="707"/>
      <c r="QYX35" s="707"/>
      <c r="QYY35" s="707"/>
      <c r="QYZ35" s="707"/>
      <c r="QZA35" s="707"/>
      <c r="QZB35" s="707"/>
      <c r="QZC35" s="707"/>
      <c r="QZD35" s="707"/>
      <c r="QZE35" s="707"/>
      <c r="QZF35" s="707"/>
      <c r="QZG35" s="707"/>
      <c r="QZH35" s="707"/>
      <c r="QZI35" s="707"/>
      <c r="QZJ35" s="707"/>
      <c r="QZK35" s="707"/>
      <c r="QZL35" s="707"/>
      <c r="QZM35" s="707"/>
      <c r="QZN35" s="707"/>
      <c r="QZO35" s="707"/>
      <c r="QZP35" s="707"/>
      <c r="QZQ35" s="707"/>
      <c r="QZR35" s="707"/>
      <c r="QZS35" s="707"/>
      <c r="QZT35" s="707"/>
      <c r="QZU35" s="707"/>
      <c r="QZV35" s="707"/>
      <c r="QZW35" s="707"/>
      <c r="QZX35" s="707"/>
      <c r="QZY35" s="707"/>
      <c r="QZZ35" s="707"/>
      <c r="RAA35" s="707"/>
      <c r="RAB35" s="707"/>
      <c r="RAC35" s="707"/>
      <c r="RAD35" s="707"/>
      <c r="RAE35" s="707"/>
      <c r="RAF35" s="707"/>
      <c r="RAG35" s="707"/>
      <c r="RAH35" s="707"/>
      <c r="RAI35" s="707"/>
      <c r="RAJ35" s="707"/>
      <c r="RAK35" s="707"/>
      <c r="RAL35" s="707"/>
      <c r="RAM35" s="707"/>
      <c r="RAN35" s="707"/>
      <c r="RAO35" s="707"/>
      <c r="RAP35" s="707"/>
      <c r="RAQ35" s="707"/>
      <c r="RAR35" s="707"/>
      <c r="RAS35" s="707"/>
      <c r="RAT35" s="707"/>
      <c r="RAU35" s="707"/>
      <c r="RAV35" s="707"/>
      <c r="RAW35" s="707"/>
      <c r="RAX35" s="707"/>
      <c r="RAY35" s="707"/>
      <c r="RAZ35" s="707"/>
      <c r="RBA35" s="707"/>
      <c r="RBB35" s="707"/>
      <c r="RBC35" s="707"/>
      <c r="RBD35" s="707"/>
      <c r="RBE35" s="707"/>
      <c r="RBF35" s="707"/>
      <c r="RBG35" s="707"/>
      <c r="RBH35" s="707"/>
      <c r="RBI35" s="707"/>
      <c r="RBJ35" s="707"/>
      <c r="RBK35" s="707"/>
      <c r="RBL35" s="707"/>
      <c r="RBM35" s="707"/>
      <c r="RBN35" s="707"/>
      <c r="RBO35" s="707"/>
      <c r="RBP35" s="707"/>
      <c r="RBQ35" s="707"/>
      <c r="RBR35" s="707"/>
      <c r="RBS35" s="707"/>
      <c r="RBT35" s="707"/>
      <c r="RBU35" s="707"/>
      <c r="RBV35" s="707"/>
      <c r="RBW35" s="707"/>
      <c r="RBX35" s="707"/>
      <c r="RBY35" s="707"/>
      <c r="RBZ35" s="707"/>
      <c r="RCA35" s="707"/>
      <c r="RCB35" s="707"/>
      <c r="RCC35" s="707"/>
      <c r="RCD35" s="707"/>
      <c r="RCE35" s="707"/>
      <c r="RCF35" s="707"/>
      <c r="RCG35" s="707"/>
      <c r="RCH35" s="707"/>
      <c r="RCI35" s="707"/>
      <c r="RCJ35" s="707"/>
      <c r="RCK35" s="707"/>
      <c r="RCL35" s="707"/>
      <c r="RCM35" s="707"/>
      <c r="RCN35" s="707"/>
      <c r="RCO35" s="707"/>
      <c r="RCP35" s="707"/>
      <c r="RCQ35" s="707"/>
      <c r="RCR35" s="707"/>
      <c r="RCS35" s="707"/>
      <c r="RCT35" s="707"/>
      <c r="RCU35" s="707"/>
      <c r="RCV35" s="707"/>
      <c r="RCW35" s="707"/>
      <c r="RCX35" s="707"/>
      <c r="RCY35" s="707"/>
      <c r="RCZ35" s="707"/>
      <c r="RDA35" s="707"/>
      <c r="RDB35" s="707"/>
      <c r="RDC35" s="707"/>
      <c r="RDD35" s="707"/>
      <c r="RDE35" s="707"/>
      <c r="RDF35" s="707"/>
      <c r="RDG35" s="707"/>
      <c r="RDH35" s="707"/>
      <c r="RDI35" s="707"/>
      <c r="RDJ35" s="707"/>
      <c r="RDK35" s="707"/>
      <c r="RDL35" s="707"/>
      <c r="RDM35" s="707"/>
      <c r="RDN35" s="707"/>
      <c r="RDO35" s="707"/>
      <c r="RDP35" s="707"/>
      <c r="RDQ35" s="707"/>
      <c r="RDR35" s="707"/>
      <c r="RDS35" s="707"/>
      <c r="RDT35" s="707"/>
      <c r="RDU35" s="707"/>
      <c r="RDV35" s="707"/>
      <c r="RDW35" s="707"/>
      <c r="RDX35" s="707"/>
      <c r="RDY35" s="707"/>
      <c r="RDZ35" s="707"/>
      <c r="REA35" s="707"/>
      <c r="REB35" s="707"/>
      <c r="REC35" s="707"/>
      <c r="RED35" s="707"/>
      <c r="REE35" s="707"/>
      <c r="REF35" s="707"/>
      <c r="REG35" s="707"/>
      <c r="REH35" s="707"/>
      <c r="REI35" s="707"/>
      <c r="REJ35" s="707"/>
      <c r="REK35" s="707"/>
      <c r="REL35" s="707"/>
      <c r="REM35" s="707"/>
      <c r="REN35" s="707"/>
      <c r="REO35" s="707"/>
      <c r="REP35" s="707"/>
      <c r="REQ35" s="707"/>
      <c r="RER35" s="707"/>
      <c r="RES35" s="707"/>
      <c r="RET35" s="707"/>
      <c r="REU35" s="707"/>
      <c r="REV35" s="707"/>
      <c r="REW35" s="707"/>
      <c r="REX35" s="707"/>
      <c r="REY35" s="707"/>
      <c r="REZ35" s="707"/>
      <c r="RFA35" s="707"/>
      <c r="RFB35" s="707"/>
      <c r="RFC35" s="707"/>
      <c r="RFD35" s="707"/>
      <c r="RFE35" s="707"/>
      <c r="RFF35" s="707"/>
      <c r="RFG35" s="707"/>
      <c r="RFH35" s="707"/>
      <c r="RFI35" s="707"/>
      <c r="RFJ35" s="707"/>
      <c r="RFK35" s="707"/>
      <c r="RFL35" s="707"/>
      <c r="RFM35" s="707"/>
      <c r="RFN35" s="707"/>
      <c r="RFO35" s="707"/>
      <c r="RFP35" s="707"/>
      <c r="RFQ35" s="707"/>
      <c r="RFR35" s="707"/>
      <c r="RFS35" s="707"/>
      <c r="RFT35" s="707"/>
      <c r="RFU35" s="707"/>
      <c r="RFV35" s="707"/>
      <c r="RFW35" s="707"/>
      <c r="RFX35" s="707"/>
      <c r="RFY35" s="707"/>
      <c r="RFZ35" s="707"/>
      <c r="RGA35" s="707"/>
      <c r="RGB35" s="707"/>
      <c r="RGC35" s="707"/>
      <c r="RGD35" s="707"/>
      <c r="RGE35" s="707"/>
      <c r="RGF35" s="707"/>
      <c r="RGG35" s="707"/>
      <c r="RGH35" s="707"/>
      <c r="RGI35" s="707"/>
      <c r="RGJ35" s="707"/>
      <c r="RGK35" s="707"/>
      <c r="RGL35" s="707"/>
      <c r="RGM35" s="707"/>
      <c r="RGN35" s="707"/>
      <c r="RGO35" s="707"/>
      <c r="RGP35" s="707"/>
      <c r="RGQ35" s="707"/>
      <c r="RGR35" s="707"/>
      <c r="RGS35" s="707"/>
      <c r="RGT35" s="707"/>
      <c r="RGU35" s="707"/>
      <c r="RGV35" s="707"/>
      <c r="RGW35" s="707"/>
      <c r="RGX35" s="707"/>
      <c r="RGY35" s="707"/>
      <c r="RGZ35" s="707"/>
      <c r="RHA35" s="707"/>
      <c r="RHB35" s="707"/>
      <c r="RHC35" s="707"/>
      <c r="RHD35" s="707"/>
      <c r="RHE35" s="707"/>
      <c r="RHF35" s="707"/>
      <c r="RHG35" s="707"/>
      <c r="RHH35" s="707"/>
      <c r="RHI35" s="707"/>
      <c r="RHJ35" s="707"/>
      <c r="RHK35" s="707"/>
      <c r="RHL35" s="707"/>
      <c r="RHM35" s="707"/>
      <c r="RHN35" s="707"/>
      <c r="RHO35" s="707"/>
      <c r="RHP35" s="707"/>
      <c r="RHQ35" s="707"/>
      <c r="RHR35" s="707"/>
      <c r="RHS35" s="707"/>
      <c r="RHT35" s="707"/>
      <c r="RHU35" s="707"/>
      <c r="RHV35" s="707"/>
      <c r="RHW35" s="707"/>
      <c r="RHX35" s="707"/>
      <c r="RHY35" s="707"/>
      <c r="RHZ35" s="707"/>
      <c r="RIA35" s="707"/>
      <c r="RIB35" s="707"/>
      <c r="RIC35" s="707"/>
      <c r="RID35" s="707"/>
      <c r="RIE35" s="707"/>
      <c r="RIF35" s="707"/>
      <c r="RIG35" s="707"/>
      <c r="RIH35" s="707"/>
      <c r="RII35" s="707"/>
      <c r="RIJ35" s="707"/>
      <c r="RIK35" s="707"/>
      <c r="RIL35" s="707"/>
      <c r="RIM35" s="707"/>
      <c r="RIN35" s="707"/>
      <c r="RIO35" s="707"/>
      <c r="RIP35" s="707"/>
      <c r="RIQ35" s="707"/>
      <c r="RIR35" s="707"/>
      <c r="RIS35" s="707"/>
      <c r="RIT35" s="707"/>
      <c r="RIU35" s="707"/>
      <c r="RIV35" s="707"/>
      <c r="RIW35" s="707"/>
      <c r="RIX35" s="707"/>
      <c r="RIY35" s="707"/>
      <c r="RIZ35" s="707"/>
      <c r="RJA35" s="707"/>
      <c r="RJB35" s="707"/>
      <c r="RJC35" s="707"/>
      <c r="RJD35" s="707"/>
      <c r="RJE35" s="707"/>
      <c r="RJF35" s="707"/>
      <c r="RJG35" s="707"/>
      <c r="RJH35" s="707"/>
      <c r="RJI35" s="707"/>
      <c r="RJJ35" s="707"/>
      <c r="RJK35" s="707"/>
      <c r="RJL35" s="707"/>
      <c r="RJM35" s="707"/>
      <c r="RJN35" s="707"/>
      <c r="RJO35" s="707"/>
      <c r="RJP35" s="707"/>
      <c r="RJQ35" s="707"/>
      <c r="RJR35" s="707"/>
      <c r="RJS35" s="707"/>
      <c r="RJT35" s="707"/>
      <c r="RJU35" s="707"/>
      <c r="RJV35" s="707"/>
      <c r="RJW35" s="707"/>
      <c r="RJX35" s="707"/>
      <c r="RJY35" s="707"/>
      <c r="RJZ35" s="707"/>
      <c r="RKA35" s="707"/>
      <c r="RKB35" s="707"/>
      <c r="RKC35" s="707"/>
      <c r="RKD35" s="707"/>
      <c r="RKE35" s="707"/>
      <c r="RKF35" s="707"/>
      <c r="RKG35" s="707"/>
      <c r="RKH35" s="707"/>
      <c r="RKI35" s="707"/>
      <c r="RKJ35" s="707"/>
      <c r="RKK35" s="707"/>
      <c r="RKL35" s="707"/>
      <c r="RKM35" s="707"/>
      <c r="RKN35" s="707"/>
      <c r="RKO35" s="707"/>
      <c r="RKP35" s="707"/>
      <c r="RKQ35" s="707"/>
      <c r="RKR35" s="707"/>
      <c r="RKS35" s="707"/>
      <c r="RKT35" s="707"/>
      <c r="RKU35" s="707"/>
      <c r="RKV35" s="707"/>
      <c r="RKW35" s="707"/>
      <c r="RKX35" s="707"/>
      <c r="RKY35" s="707"/>
      <c r="RKZ35" s="707"/>
      <c r="RLA35" s="707"/>
      <c r="RLB35" s="707"/>
      <c r="RLC35" s="707"/>
      <c r="RLD35" s="707"/>
      <c r="RLE35" s="707"/>
      <c r="RLF35" s="707"/>
      <c r="RLG35" s="707"/>
      <c r="RLH35" s="707"/>
      <c r="RLI35" s="707"/>
      <c r="RLJ35" s="707"/>
      <c r="RLK35" s="707"/>
      <c r="RLL35" s="707"/>
      <c r="RLM35" s="707"/>
      <c r="RLN35" s="707"/>
      <c r="RLO35" s="707"/>
      <c r="RLP35" s="707"/>
      <c r="RLQ35" s="707"/>
      <c r="RLR35" s="707"/>
      <c r="RLS35" s="707"/>
      <c r="RLT35" s="707"/>
      <c r="RLU35" s="707"/>
      <c r="RLV35" s="707"/>
      <c r="RLW35" s="707"/>
      <c r="RLX35" s="707"/>
      <c r="RLY35" s="707"/>
      <c r="RLZ35" s="707"/>
      <c r="RMA35" s="707"/>
      <c r="RMB35" s="707"/>
      <c r="RMC35" s="707"/>
      <c r="RMD35" s="707"/>
      <c r="RME35" s="707"/>
      <c r="RMF35" s="707"/>
      <c r="RMG35" s="707"/>
      <c r="RMH35" s="707"/>
      <c r="RMI35" s="707"/>
      <c r="RMJ35" s="707"/>
      <c r="RMK35" s="707"/>
      <c r="RML35" s="707"/>
      <c r="RMM35" s="707"/>
      <c r="RMN35" s="707"/>
      <c r="RMO35" s="707"/>
      <c r="RMP35" s="707"/>
      <c r="RMQ35" s="707"/>
      <c r="RMR35" s="707"/>
      <c r="RMS35" s="707"/>
      <c r="RMT35" s="707"/>
      <c r="RMU35" s="707"/>
      <c r="RMV35" s="707"/>
      <c r="RMW35" s="707"/>
      <c r="RMX35" s="707"/>
      <c r="RMY35" s="707"/>
      <c r="RMZ35" s="707"/>
      <c r="RNA35" s="707"/>
      <c r="RNB35" s="707"/>
      <c r="RNC35" s="707"/>
      <c r="RND35" s="707"/>
      <c r="RNE35" s="707"/>
      <c r="RNF35" s="707"/>
      <c r="RNG35" s="707"/>
      <c r="RNH35" s="707"/>
      <c r="RNI35" s="707"/>
      <c r="RNJ35" s="707"/>
      <c r="RNK35" s="707"/>
      <c r="RNL35" s="707"/>
      <c r="RNM35" s="707"/>
      <c r="RNN35" s="707"/>
      <c r="RNO35" s="707"/>
      <c r="RNP35" s="707"/>
      <c r="RNQ35" s="707"/>
      <c r="RNR35" s="707"/>
      <c r="RNS35" s="707"/>
      <c r="RNT35" s="707"/>
      <c r="RNU35" s="707"/>
      <c r="RNV35" s="707"/>
      <c r="RNW35" s="707"/>
      <c r="RNX35" s="707"/>
      <c r="RNY35" s="707"/>
      <c r="RNZ35" s="707"/>
      <c r="ROA35" s="707"/>
      <c r="ROB35" s="707"/>
      <c r="ROC35" s="707"/>
      <c r="ROD35" s="707"/>
      <c r="ROE35" s="707"/>
      <c r="ROF35" s="707"/>
      <c r="ROG35" s="707"/>
      <c r="ROH35" s="707"/>
      <c r="ROI35" s="707"/>
      <c r="ROJ35" s="707"/>
      <c r="ROK35" s="707"/>
      <c r="ROL35" s="707"/>
      <c r="ROM35" s="707"/>
      <c r="RON35" s="707"/>
      <c r="ROO35" s="707"/>
      <c r="ROP35" s="707"/>
      <c r="ROQ35" s="707"/>
      <c r="ROR35" s="707"/>
      <c r="ROS35" s="707"/>
      <c r="ROT35" s="707"/>
      <c r="ROU35" s="707"/>
      <c r="ROV35" s="707"/>
      <c r="ROW35" s="707"/>
      <c r="ROX35" s="707"/>
      <c r="ROY35" s="707"/>
      <c r="ROZ35" s="707"/>
      <c r="RPA35" s="707"/>
      <c r="RPB35" s="707"/>
      <c r="RPC35" s="707"/>
      <c r="RPD35" s="707"/>
      <c r="RPE35" s="707"/>
      <c r="RPF35" s="707"/>
      <c r="RPG35" s="707"/>
      <c r="RPH35" s="707"/>
      <c r="RPI35" s="707"/>
      <c r="RPJ35" s="707"/>
      <c r="RPK35" s="707"/>
      <c r="RPL35" s="707"/>
      <c r="RPM35" s="707"/>
      <c r="RPN35" s="707"/>
      <c r="RPO35" s="707"/>
      <c r="RPP35" s="707"/>
      <c r="RPQ35" s="707"/>
      <c r="RPR35" s="707"/>
      <c r="RPS35" s="707"/>
      <c r="RPT35" s="707"/>
      <c r="RPU35" s="707"/>
      <c r="RPV35" s="707"/>
      <c r="RPW35" s="707"/>
      <c r="RPX35" s="707"/>
      <c r="RPY35" s="707"/>
      <c r="RPZ35" s="707"/>
      <c r="RQA35" s="707"/>
      <c r="RQB35" s="707"/>
      <c r="RQC35" s="707"/>
      <c r="RQD35" s="707"/>
      <c r="RQE35" s="707"/>
      <c r="RQF35" s="707"/>
      <c r="RQG35" s="707"/>
      <c r="RQH35" s="707"/>
      <c r="RQI35" s="707"/>
      <c r="RQJ35" s="707"/>
      <c r="RQK35" s="707"/>
      <c r="RQL35" s="707"/>
      <c r="RQM35" s="707"/>
      <c r="RQN35" s="707"/>
      <c r="RQO35" s="707"/>
      <c r="RQP35" s="707"/>
      <c r="RQQ35" s="707"/>
      <c r="RQR35" s="707"/>
      <c r="RQS35" s="707"/>
      <c r="RQT35" s="707"/>
      <c r="RQU35" s="707"/>
      <c r="RQV35" s="707"/>
      <c r="RQW35" s="707"/>
      <c r="RQX35" s="707"/>
      <c r="RQY35" s="707"/>
      <c r="RQZ35" s="707"/>
      <c r="RRA35" s="707"/>
      <c r="RRB35" s="707"/>
      <c r="RRC35" s="707"/>
      <c r="RRD35" s="707"/>
      <c r="RRE35" s="707"/>
      <c r="RRF35" s="707"/>
      <c r="RRG35" s="707"/>
      <c r="RRH35" s="707"/>
      <c r="RRI35" s="707"/>
      <c r="RRJ35" s="707"/>
      <c r="RRK35" s="707"/>
      <c r="RRL35" s="707"/>
      <c r="RRM35" s="707"/>
      <c r="RRN35" s="707"/>
      <c r="RRO35" s="707"/>
      <c r="RRP35" s="707"/>
      <c r="RRQ35" s="707"/>
      <c r="RRR35" s="707"/>
      <c r="RRS35" s="707"/>
      <c r="RRT35" s="707"/>
      <c r="RRU35" s="707"/>
      <c r="RRV35" s="707"/>
      <c r="RRW35" s="707"/>
      <c r="RRX35" s="707"/>
      <c r="RRY35" s="707"/>
      <c r="RRZ35" s="707"/>
      <c r="RSA35" s="707"/>
      <c r="RSB35" s="707"/>
      <c r="RSC35" s="707"/>
      <c r="RSD35" s="707"/>
      <c r="RSE35" s="707"/>
      <c r="RSF35" s="707"/>
      <c r="RSG35" s="707"/>
      <c r="RSH35" s="707"/>
      <c r="RSI35" s="707"/>
      <c r="RSJ35" s="707"/>
      <c r="RSK35" s="707"/>
      <c r="RSL35" s="707"/>
      <c r="RSM35" s="707"/>
      <c r="RSN35" s="707"/>
      <c r="RSO35" s="707"/>
      <c r="RSP35" s="707"/>
      <c r="RSQ35" s="707"/>
      <c r="RSR35" s="707"/>
      <c r="RSS35" s="707"/>
      <c r="RST35" s="707"/>
      <c r="RSU35" s="707"/>
      <c r="RSV35" s="707"/>
      <c r="RSW35" s="707"/>
      <c r="RSX35" s="707"/>
      <c r="RSY35" s="707"/>
      <c r="RSZ35" s="707"/>
      <c r="RTA35" s="707"/>
      <c r="RTB35" s="707"/>
      <c r="RTC35" s="707"/>
      <c r="RTD35" s="707"/>
      <c r="RTE35" s="707"/>
      <c r="RTF35" s="707"/>
      <c r="RTG35" s="707"/>
      <c r="RTH35" s="707"/>
      <c r="RTI35" s="707"/>
      <c r="RTJ35" s="707"/>
      <c r="RTK35" s="707"/>
      <c r="RTL35" s="707"/>
      <c r="RTM35" s="707"/>
      <c r="RTN35" s="707"/>
      <c r="RTO35" s="707"/>
      <c r="RTP35" s="707"/>
      <c r="RTQ35" s="707"/>
      <c r="RTR35" s="707"/>
      <c r="RTS35" s="707"/>
      <c r="RTT35" s="707"/>
      <c r="RTU35" s="707"/>
      <c r="RTV35" s="707"/>
      <c r="RTW35" s="707"/>
      <c r="RTX35" s="707"/>
      <c r="RTY35" s="707"/>
      <c r="RTZ35" s="707"/>
      <c r="RUA35" s="707"/>
      <c r="RUB35" s="707"/>
      <c r="RUC35" s="707"/>
      <c r="RUD35" s="707"/>
      <c r="RUE35" s="707"/>
      <c r="RUF35" s="707"/>
      <c r="RUG35" s="707"/>
      <c r="RUH35" s="707"/>
      <c r="RUI35" s="707"/>
      <c r="RUJ35" s="707"/>
      <c r="RUK35" s="707"/>
      <c r="RUL35" s="707"/>
      <c r="RUM35" s="707"/>
      <c r="RUN35" s="707"/>
      <c r="RUO35" s="707"/>
      <c r="RUP35" s="707"/>
      <c r="RUQ35" s="707"/>
      <c r="RUR35" s="707"/>
      <c r="RUS35" s="707"/>
      <c r="RUT35" s="707"/>
      <c r="RUU35" s="707"/>
      <c r="RUV35" s="707"/>
      <c r="RUW35" s="707"/>
      <c r="RUX35" s="707"/>
      <c r="RUY35" s="707"/>
      <c r="RUZ35" s="707"/>
      <c r="RVA35" s="707"/>
      <c r="RVB35" s="707"/>
      <c r="RVC35" s="707"/>
      <c r="RVD35" s="707"/>
      <c r="RVE35" s="707"/>
      <c r="RVF35" s="707"/>
      <c r="RVG35" s="707"/>
      <c r="RVH35" s="707"/>
      <c r="RVI35" s="707"/>
      <c r="RVJ35" s="707"/>
      <c r="RVK35" s="707"/>
      <c r="RVL35" s="707"/>
      <c r="RVM35" s="707"/>
      <c r="RVN35" s="707"/>
      <c r="RVO35" s="707"/>
      <c r="RVP35" s="707"/>
      <c r="RVQ35" s="707"/>
      <c r="RVR35" s="707"/>
      <c r="RVS35" s="707"/>
      <c r="RVT35" s="707"/>
      <c r="RVU35" s="707"/>
      <c r="RVV35" s="707"/>
      <c r="RVW35" s="707"/>
      <c r="RVX35" s="707"/>
      <c r="RVY35" s="707"/>
      <c r="RVZ35" s="707"/>
      <c r="RWA35" s="707"/>
      <c r="RWB35" s="707"/>
      <c r="RWC35" s="707"/>
      <c r="RWD35" s="707"/>
      <c r="RWE35" s="707"/>
      <c r="RWF35" s="707"/>
      <c r="RWG35" s="707"/>
      <c r="RWH35" s="707"/>
      <c r="RWI35" s="707"/>
      <c r="RWJ35" s="707"/>
      <c r="RWK35" s="707"/>
      <c r="RWL35" s="707"/>
      <c r="RWM35" s="707"/>
      <c r="RWN35" s="707"/>
      <c r="RWO35" s="707"/>
      <c r="RWP35" s="707"/>
      <c r="RWQ35" s="707"/>
      <c r="RWR35" s="707"/>
      <c r="RWS35" s="707"/>
      <c r="RWT35" s="707"/>
      <c r="RWU35" s="707"/>
      <c r="RWV35" s="707"/>
      <c r="RWW35" s="707"/>
      <c r="RWX35" s="707"/>
      <c r="RWY35" s="707"/>
      <c r="RWZ35" s="707"/>
      <c r="RXA35" s="707"/>
      <c r="RXB35" s="707"/>
      <c r="RXC35" s="707"/>
      <c r="RXD35" s="707"/>
      <c r="RXE35" s="707"/>
      <c r="RXF35" s="707"/>
      <c r="RXG35" s="707"/>
      <c r="RXH35" s="707"/>
      <c r="RXI35" s="707"/>
      <c r="RXJ35" s="707"/>
      <c r="RXK35" s="707"/>
      <c r="RXL35" s="707"/>
      <c r="RXM35" s="707"/>
      <c r="RXN35" s="707"/>
      <c r="RXO35" s="707"/>
      <c r="RXP35" s="707"/>
      <c r="RXQ35" s="707"/>
      <c r="RXR35" s="707"/>
      <c r="RXS35" s="707"/>
      <c r="RXT35" s="707"/>
      <c r="RXU35" s="707"/>
      <c r="RXV35" s="707"/>
      <c r="RXW35" s="707"/>
      <c r="RXX35" s="707"/>
      <c r="RXY35" s="707"/>
      <c r="RXZ35" s="707"/>
      <c r="RYA35" s="707"/>
      <c r="RYB35" s="707"/>
      <c r="RYC35" s="707"/>
      <c r="RYD35" s="707"/>
      <c r="RYE35" s="707"/>
      <c r="RYF35" s="707"/>
      <c r="RYG35" s="707"/>
      <c r="RYH35" s="707"/>
      <c r="RYI35" s="707"/>
      <c r="RYJ35" s="707"/>
      <c r="RYK35" s="707"/>
      <c r="RYL35" s="707"/>
      <c r="RYM35" s="707"/>
      <c r="RYN35" s="707"/>
      <c r="RYO35" s="707"/>
      <c r="RYP35" s="707"/>
      <c r="RYQ35" s="707"/>
      <c r="RYR35" s="707"/>
      <c r="RYS35" s="707"/>
      <c r="RYT35" s="707"/>
      <c r="RYU35" s="707"/>
      <c r="RYV35" s="707"/>
      <c r="RYW35" s="707"/>
      <c r="RYX35" s="707"/>
      <c r="RYY35" s="707"/>
      <c r="RYZ35" s="707"/>
      <c r="RZA35" s="707"/>
      <c r="RZB35" s="707"/>
      <c r="RZC35" s="707"/>
      <c r="RZD35" s="707"/>
      <c r="RZE35" s="707"/>
      <c r="RZF35" s="707"/>
      <c r="RZG35" s="707"/>
      <c r="RZH35" s="707"/>
      <c r="RZI35" s="707"/>
      <c r="RZJ35" s="707"/>
      <c r="RZK35" s="707"/>
      <c r="RZL35" s="707"/>
      <c r="RZM35" s="707"/>
      <c r="RZN35" s="707"/>
      <c r="RZO35" s="707"/>
      <c r="RZP35" s="707"/>
      <c r="RZQ35" s="707"/>
      <c r="RZR35" s="707"/>
      <c r="RZS35" s="707"/>
      <c r="RZT35" s="707"/>
      <c r="RZU35" s="707"/>
      <c r="RZV35" s="707"/>
      <c r="RZW35" s="707"/>
      <c r="RZX35" s="707"/>
      <c r="RZY35" s="707"/>
      <c r="RZZ35" s="707"/>
      <c r="SAA35" s="707"/>
      <c r="SAB35" s="707"/>
      <c r="SAC35" s="707"/>
      <c r="SAD35" s="707"/>
      <c r="SAE35" s="707"/>
      <c r="SAF35" s="707"/>
      <c r="SAG35" s="707"/>
      <c r="SAH35" s="707"/>
      <c r="SAI35" s="707"/>
      <c r="SAJ35" s="707"/>
      <c r="SAK35" s="707"/>
      <c r="SAL35" s="707"/>
      <c r="SAM35" s="707"/>
      <c r="SAN35" s="707"/>
      <c r="SAO35" s="707"/>
      <c r="SAP35" s="707"/>
      <c r="SAQ35" s="707"/>
      <c r="SAR35" s="707"/>
      <c r="SAS35" s="707"/>
      <c r="SAT35" s="707"/>
      <c r="SAU35" s="707"/>
      <c r="SAV35" s="707"/>
      <c r="SAW35" s="707"/>
      <c r="SAX35" s="707"/>
      <c r="SAY35" s="707"/>
      <c r="SAZ35" s="707"/>
      <c r="SBA35" s="707"/>
      <c r="SBB35" s="707"/>
      <c r="SBC35" s="707"/>
      <c r="SBD35" s="707"/>
      <c r="SBE35" s="707"/>
      <c r="SBF35" s="707"/>
      <c r="SBG35" s="707"/>
      <c r="SBH35" s="707"/>
      <c r="SBI35" s="707"/>
      <c r="SBJ35" s="707"/>
      <c r="SBK35" s="707"/>
      <c r="SBL35" s="707"/>
      <c r="SBM35" s="707"/>
      <c r="SBN35" s="707"/>
      <c r="SBO35" s="707"/>
      <c r="SBP35" s="707"/>
      <c r="SBQ35" s="707"/>
      <c r="SBR35" s="707"/>
      <c r="SBS35" s="707"/>
      <c r="SBT35" s="707"/>
      <c r="SBU35" s="707"/>
      <c r="SBV35" s="707"/>
      <c r="SBW35" s="707"/>
      <c r="SBX35" s="707"/>
      <c r="SBY35" s="707"/>
      <c r="SBZ35" s="707"/>
      <c r="SCA35" s="707"/>
      <c r="SCB35" s="707"/>
      <c r="SCC35" s="707"/>
      <c r="SCD35" s="707"/>
      <c r="SCE35" s="707"/>
      <c r="SCF35" s="707"/>
      <c r="SCG35" s="707"/>
      <c r="SCH35" s="707"/>
      <c r="SCI35" s="707"/>
      <c r="SCJ35" s="707"/>
      <c r="SCK35" s="707"/>
      <c r="SCL35" s="707"/>
      <c r="SCM35" s="707"/>
      <c r="SCN35" s="707"/>
      <c r="SCO35" s="707"/>
      <c r="SCP35" s="707"/>
      <c r="SCQ35" s="707"/>
      <c r="SCR35" s="707"/>
      <c r="SCS35" s="707"/>
      <c r="SCT35" s="707"/>
      <c r="SCU35" s="707"/>
      <c r="SCV35" s="707"/>
      <c r="SCW35" s="707"/>
      <c r="SCX35" s="707"/>
      <c r="SCY35" s="707"/>
      <c r="SCZ35" s="707"/>
      <c r="SDA35" s="707"/>
      <c r="SDB35" s="707"/>
      <c r="SDC35" s="707"/>
      <c r="SDD35" s="707"/>
      <c r="SDE35" s="707"/>
      <c r="SDF35" s="707"/>
      <c r="SDG35" s="707"/>
      <c r="SDH35" s="707"/>
      <c r="SDI35" s="707"/>
      <c r="SDJ35" s="707"/>
      <c r="SDK35" s="707"/>
      <c r="SDL35" s="707"/>
      <c r="SDM35" s="707"/>
      <c r="SDN35" s="707"/>
      <c r="SDO35" s="707"/>
      <c r="SDP35" s="707"/>
      <c r="SDQ35" s="707"/>
      <c r="SDR35" s="707"/>
      <c r="SDS35" s="707"/>
      <c r="SDT35" s="707"/>
      <c r="SDU35" s="707"/>
      <c r="SDV35" s="707"/>
      <c r="SDW35" s="707"/>
      <c r="SDX35" s="707"/>
      <c r="SDY35" s="707"/>
      <c r="SDZ35" s="707"/>
      <c r="SEA35" s="707"/>
      <c r="SEB35" s="707"/>
      <c r="SEC35" s="707"/>
      <c r="SED35" s="707"/>
      <c r="SEE35" s="707"/>
      <c r="SEF35" s="707"/>
      <c r="SEG35" s="707"/>
      <c r="SEH35" s="707"/>
      <c r="SEI35" s="707"/>
      <c r="SEJ35" s="707"/>
      <c r="SEK35" s="707"/>
      <c r="SEL35" s="707"/>
      <c r="SEM35" s="707"/>
      <c r="SEN35" s="707"/>
      <c r="SEO35" s="707"/>
      <c r="SEP35" s="707"/>
      <c r="SEQ35" s="707"/>
      <c r="SER35" s="707"/>
      <c r="SES35" s="707"/>
      <c r="SET35" s="707"/>
      <c r="SEU35" s="707"/>
      <c r="SEV35" s="707"/>
      <c r="SEW35" s="707"/>
      <c r="SEX35" s="707"/>
      <c r="SEY35" s="707"/>
      <c r="SEZ35" s="707"/>
      <c r="SFA35" s="707"/>
      <c r="SFB35" s="707"/>
      <c r="SFC35" s="707"/>
      <c r="SFD35" s="707"/>
      <c r="SFE35" s="707"/>
      <c r="SFF35" s="707"/>
      <c r="SFG35" s="707"/>
      <c r="SFH35" s="707"/>
      <c r="SFI35" s="707"/>
      <c r="SFJ35" s="707"/>
      <c r="SFK35" s="707"/>
      <c r="SFL35" s="707"/>
      <c r="SFM35" s="707"/>
      <c r="SFN35" s="707"/>
      <c r="SFO35" s="707"/>
      <c r="SFP35" s="707"/>
      <c r="SFQ35" s="707"/>
      <c r="SFR35" s="707"/>
      <c r="SFS35" s="707"/>
      <c r="SFT35" s="707"/>
      <c r="SFU35" s="707"/>
      <c r="SFV35" s="707"/>
      <c r="SFW35" s="707"/>
      <c r="SFX35" s="707"/>
      <c r="SFY35" s="707"/>
      <c r="SFZ35" s="707"/>
      <c r="SGA35" s="707"/>
      <c r="SGB35" s="707"/>
      <c r="SGC35" s="707"/>
      <c r="SGD35" s="707"/>
      <c r="SGE35" s="707"/>
      <c r="SGF35" s="707"/>
      <c r="SGG35" s="707"/>
      <c r="SGH35" s="707"/>
      <c r="SGI35" s="707"/>
      <c r="SGJ35" s="707"/>
      <c r="SGK35" s="707"/>
      <c r="SGL35" s="707"/>
      <c r="SGM35" s="707"/>
      <c r="SGN35" s="707"/>
      <c r="SGO35" s="707"/>
      <c r="SGP35" s="707"/>
      <c r="SGQ35" s="707"/>
      <c r="SGR35" s="707"/>
      <c r="SGS35" s="707"/>
      <c r="SGT35" s="707"/>
      <c r="SGU35" s="707"/>
      <c r="SGV35" s="707"/>
      <c r="SGW35" s="707"/>
      <c r="SGX35" s="707"/>
      <c r="SGY35" s="707"/>
      <c r="SGZ35" s="707"/>
      <c r="SHA35" s="707"/>
      <c r="SHB35" s="707"/>
      <c r="SHC35" s="707"/>
      <c r="SHD35" s="707"/>
      <c r="SHE35" s="707"/>
      <c r="SHF35" s="707"/>
      <c r="SHG35" s="707"/>
      <c r="SHH35" s="707"/>
      <c r="SHI35" s="707"/>
      <c r="SHJ35" s="707"/>
      <c r="SHK35" s="707"/>
      <c r="SHL35" s="707"/>
      <c r="SHM35" s="707"/>
      <c r="SHN35" s="707"/>
      <c r="SHO35" s="707"/>
      <c r="SHP35" s="707"/>
      <c r="SHQ35" s="707"/>
      <c r="SHR35" s="707"/>
      <c r="SHS35" s="707"/>
      <c r="SHT35" s="707"/>
      <c r="SHU35" s="707"/>
      <c r="SHV35" s="707"/>
      <c r="SHW35" s="707"/>
      <c r="SHX35" s="707"/>
      <c r="SHY35" s="707"/>
      <c r="SHZ35" s="707"/>
      <c r="SIA35" s="707"/>
      <c r="SIB35" s="707"/>
      <c r="SIC35" s="707"/>
      <c r="SID35" s="707"/>
      <c r="SIE35" s="707"/>
      <c r="SIF35" s="707"/>
      <c r="SIG35" s="707"/>
      <c r="SIH35" s="707"/>
      <c r="SII35" s="707"/>
      <c r="SIJ35" s="707"/>
      <c r="SIK35" s="707"/>
      <c r="SIL35" s="707"/>
      <c r="SIM35" s="707"/>
      <c r="SIN35" s="707"/>
      <c r="SIO35" s="707"/>
      <c r="SIP35" s="707"/>
      <c r="SIQ35" s="707"/>
      <c r="SIR35" s="707"/>
      <c r="SIS35" s="707"/>
      <c r="SIT35" s="707"/>
      <c r="SIU35" s="707"/>
      <c r="SIV35" s="707"/>
      <c r="SIW35" s="707"/>
      <c r="SIX35" s="707"/>
      <c r="SIY35" s="707"/>
      <c r="SIZ35" s="707"/>
      <c r="SJA35" s="707"/>
      <c r="SJB35" s="707"/>
      <c r="SJC35" s="707"/>
      <c r="SJD35" s="707"/>
      <c r="SJE35" s="707"/>
      <c r="SJF35" s="707"/>
      <c r="SJG35" s="707"/>
      <c r="SJH35" s="707"/>
      <c r="SJI35" s="707"/>
      <c r="SJJ35" s="707"/>
      <c r="SJK35" s="707"/>
      <c r="SJL35" s="707"/>
      <c r="SJM35" s="707"/>
      <c r="SJN35" s="707"/>
      <c r="SJO35" s="707"/>
      <c r="SJP35" s="707"/>
      <c r="SJQ35" s="707"/>
      <c r="SJR35" s="707"/>
      <c r="SJS35" s="707"/>
      <c r="SJT35" s="707"/>
      <c r="SJU35" s="707"/>
      <c r="SJV35" s="707"/>
      <c r="SJW35" s="707"/>
      <c r="SJX35" s="707"/>
      <c r="SJY35" s="707"/>
      <c r="SJZ35" s="707"/>
      <c r="SKA35" s="707"/>
      <c r="SKB35" s="707"/>
      <c r="SKC35" s="707"/>
      <c r="SKD35" s="707"/>
      <c r="SKE35" s="707"/>
      <c r="SKF35" s="707"/>
      <c r="SKG35" s="707"/>
      <c r="SKH35" s="707"/>
      <c r="SKI35" s="707"/>
      <c r="SKJ35" s="707"/>
      <c r="SKK35" s="707"/>
      <c r="SKL35" s="707"/>
      <c r="SKM35" s="707"/>
      <c r="SKN35" s="707"/>
      <c r="SKO35" s="707"/>
      <c r="SKP35" s="707"/>
      <c r="SKQ35" s="707"/>
      <c r="SKR35" s="707"/>
      <c r="SKS35" s="707"/>
      <c r="SKT35" s="707"/>
      <c r="SKU35" s="707"/>
      <c r="SKV35" s="707"/>
      <c r="SKW35" s="707"/>
      <c r="SKX35" s="707"/>
      <c r="SKY35" s="707"/>
      <c r="SKZ35" s="707"/>
      <c r="SLA35" s="707"/>
      <c r="SLB35" s="707"/>
      <c r="SLC35" s="707"/>
      <c r="SLD35" s="707"/>
      <c r="SLE35" s="707"/>
      <c r="SLF35" s="707"/>
      <c r="SLG35" s="707"/>
      <c r="SLH35" s="707"/>
      <c r="SLI35" s="707"/>
      <c r="SLJ35" s="707"/>
      <c r="SLK35" s="707"/>
      <c r="SLL35" s="707"/>
      <c r="SLM35" s="707"/>
      <c r="SLN35" s="707"/>
      <c r="SLO35" s="707"/>
      <c r="SLP35" s="707"/>
      <c r="SLQ35" s="707"/>
      <c r="SLR35" s="707"/>
      <c r="SLS35" s="707"/>
      <c r="SLT35" s="707"/>
      <c r="SLU35" s="707"/>
      <c r="SLV35" s="707"/>
      <c r="SLW35" s="707"/>
      <c r="SLX35" s="707"/>
      <c r="SLY35" s="707"/>
      <c r="SLZ35" s="707"/>
      <c r="SMA35" s="707"/>
      <c r="SMB35" s="707"/>
      <c r="SMC35" s="707"/>
      <c r="SMD35" s="707"/>
      <c r="SME35" s="707"/>
      <c r="SMF35" s="707"/>
      <c r="SMG35" s="707"/>
      <c r="SMH35" s="707"/>
      <c r="SMI35" s="707"/>
      <c r="SMJ35" s="707"/>
      <c r="SMK35" s="707"/>
      <c r="SML35" s="707"/>
      <c r="SMM35" s="707"/>
      <c r="SMN35" s="707"/>
      <c r="SMO35" s="707"/>
      <c r="SMP35" s="707"/>
      <c r="SMQ35" s="707"/>
      <c r="SMR35" s="707"/>
      <c r="SMS35" s="707"/>
      <c r="SMT35" s="707"/>
      <c r="SMU35" s="707"/>
      <c r="SMV35" s="707"/>
      <c r="SMW35" s="707"/>
      <c r="SMX35" s="707"/>
      <c r="SMY35" s="707"/>
      <c r="SMZ35" s="707"/>
      <c r="SNA35" s="707"/>
      <c r="SNB35" s="707"/>
      <c r="SNC35" s="707"/>
      <c r="SND35" s="707"/>
      <c r="SNE35" s="707"/>
      <c r="SNF35" s="707"/>
      <c r="SNG35" s="707"/>
      <c r="SNH35" s="707"/>
      <c r="SNI35" s="707"/>
      <c r="SNJ35" s="707"/>
      <c r="SNK35" s="707"/>
      <c r="SNL35" s="707"/>
      <c r="SNM35" s="707"/>
      <c r="SNN35" s="707"/>
      <c r="SNO35" s="707"/>
      <c r="SNP35" s="707"/>
      <c r="SNQ35" s="707"/>
      <c r="SNR35" s="707"/>
      <c r="SNS35" s="707"/>
      <c r="SNT35" s="707"/>
      <c r="SNU35" s="707"/>
      <c r="SNV35" s="707"/>
      <c r="SNW35" s="707"/>
      <c r="SNX35" s="707"/>
      <c r="SNY35" s="707"/>
      <c r="SNZ35" s="707"/>
      <c r="SOA35" s="707"/>
      <c r="SOB35" s="707"/>
      <c r="SOC35" s="707"/>
      <c r="SOD35" s="707"/>
      <c r="SOE35" s="707"/>
      <c r="SOF35" s="707"/>
      <c r="SOG35" s="707"/>
      <c r="SOH35" s="707"/>
      <c r="SOI35" s="707"/>
      <c r="SOJ35" s="707"/>
      <c r="SOK35" s="707"/>
      <c r="SOL35" s="707"/>
      <c r="SOM35" s="707"/>
      <c r="SON35" s="707"/>
      <c r="SOO35" s="707"/>
      <c r="SOP35" s="707"/>
      <c r="SOQ35" s="707"/>
      <c r="SOR35" s="707"/>
      <c r="SOS35" s="707"/>
      <c r="SOT35" s="707"/>
      <c r="SOU35" s="707"/>
      <c r="SOV35" s="707"/>
      <c r="SOW35" s="707"/>
      <c r="SOX35" s="707"/>
      <c r="SOY35" s="707"/>
      <c r="SOZ35" s="707"/>
      <c r="SPA35" s="707"/>
      <c r="SPB35" s="707"/>
      <c r="SPC35" s="707"/>
      <c r="SPD35" s="707"/>
      <c r="SPE35" s="707"/>
      <c r="SPF35" s="707"/>
      <c r="SPG35" s="707"/>
      <c r="SPH35" s="707"/>
      <c r="SPI35" s="707"/>
      <c r="SPJ35" s="707"/>
      <c r="SPK35" s="707"/>
      <c r="SPL35" s="707"/>
      <c r="SPM35" s="707"/>
      <c r="SPN35" s="707"/>
      <c r="SPO35" s="707"/>
      <c r="SPP35" s="707"/>
      <c r="SPQ35" s="707"/>
      <c r="SPR35" s="707"/>
      <c r="SPS35" s="707"/>
      <c r="SPT35" s="707"/>
      <c r="SPU35" s="707"/>
      <c r="SPV35" s="707"/>
      <c r="SPW35" s="707"/>
      <c r="SPX35" s="707"/>
      <c r="SPY35" s="707"/>
      <c r="SPZ35" s="707"/>
      <c r="SQA35" s="707"/>
      <c r="SQB35" s="707"/>
      <c r="SQC35" s="707"/>
      <c r="SQD35" s="707"/>
      <c r="SQE35" s="707"/>
      <c r="SQF35" s="707"/>
      <c r="SQG35" s="707"/>
      <c r="SQH35" s="707"/>
      <c r="SQI35" s="707"/>
      <c r="SQJ35" s="707"/>
      <c r="SQK35" s="707"/>
      <c r="SQL35" s="707"/>
      <c r="SQM35" s="707"/>
      <c r="SQN35" s="707"/>
      <c r="SQO35" s="707"/>
      <c r="SQP35" s="707"/>
      <c r="SQQ35" s="707"/>
      <c r="SQR35" s="707"/>
      <c r="SQS35" s="707"/>
      <c r="SQT35" s="707"/>
      <c r="SQU35" s="707"/>
      <c r="SQV35" s="707"/>
      <c r="SQW35" s="707"/>
      <c r="SQX35" s="707"/>
      <c r="SQY35" s="707"/>
      <c r="SQZ35" s="707"/>
      <c r="SRA35" s="707"/>
      <c r="SRB35" s="707"/>
      <c r="SRC35" s="707"/>
      <c r="SRD35" s="707"/>
      <c r="SRE35" s="707"/>
      <c r="SRF35" s="707"/>
      <c r="SRG35" s="707"/>
      <c r="SRH35" s="707"/>
      <c r="SRI35" s="707"/>
      <c r="SRJ35" s="707"/>
      <c r="SRK35" s="707"/>
      <c r="SRL35" s="707"/>
      <c r="SRM35" s="707"/>
      <c r="SRN35" s="707"/>
      <c r="SRO35" s="707"/>
      <c r="SRP35" s="707"/>
      <c r="SRQ35" s="707"/>
      <c r="SRR35" s="707"/>
      <c r="SRS35" s="707"/>
      <c r="SRT35" s="707"/>
      <c r="SRU35" s="707"/>
      <c r="SRV35" s="707"/>
      <c r="SRW35" s="707"/>
      <c r="SRX35" s="707"/>
      <c r="SRY35" s="707"/>
      <c r="SRZ35" s="707"/>
      <c r="SSA35" s="707"/>
      <c r="SSB35" s="707"/>
      <c r="SSC35" s="707"/>
      <c r="SSD35" s="707"/>
      <c r="SSE35" s="707"/>
      <c r="SSF35" s="707"/>
      <c r="SSG35" s="707"/>
      <c r="SSH35" s="707"/>
      <c r="SSI35" s="707"/>
      <c r="SSJ35" s="707"/>
      <c r="SSK35" s="707"/>
      <c r="SSL35" s="707"/>
      <c r="SSM35" s="707"/>
      <c r="SSN35" s="707"/>
      <c r="SSO35" s="707"/>
      <c r="SSP35" s="707"/>
      <c r="SSQ35" s="707"/>
      <c r="SSR35" s="707"/>
      <c r="SSS35" s="707"/>
      <c r="SST35" s="707"/>
      <c r="SSU35" s="707"/>
      <c r="SSV35" s="707"/>
      <c r="SSW35" s="707"/>
      <c r="SSX35" s="707"/>
      <c r="SSY35" s="707"/>
      <c r="SSZ35" s="707"/>
      <c r="STA35" s="707"/>
      <c r="STB35" s="707"/>
      <c r="STC35" s="707"/>
      <c r="STD35" s="707"/>
      <c r="STE35" s="707"/>
      <c r="STF35" s="707"/>
      <c r="STG35" s="707"/>
      <c r="STH35" s="707"/>
      <c r="STI35" s="707"/>
      <c r="STJ35" s="707"/>
      <c r="STK35" s="707"/>
      <c r="STL35" s="707"/>
      <c r="STM35" s="707"/>
      <c r="STN35" s="707"/>
      <c r="STO35" s="707"/>
      <c r="STP35" s="707"/>
      <c r="STQ35" s="707"/>
      <c r="STR35" s="707"/>
      <c r="STS35" s="707"/>
      <c r="STT35" s="707"/>
      <c r="STU35" s="707"/>
      <c r="STV35" s="707"/>
      <c r="STW35" s="707"/>
      <c r="STX35" s="707"/>
      <c r="STY35" s="707"/>
      <c r="STZ35" s="707"/>
      <c r="SUA35" s="707"/>
      <c r="SUB35" s="707"/>
      <c r="SUC35" s="707"/>
      <c r="SUD35" s="707"/>
      <c r="SUE35" s="707"/>
      <c r="SUF35" s="707"/>
      <c r="SUG35" s="707"/>
      <c r="SUH35" s="707"/>
      <c r="SUI35" s="707"/>
      <c r="SUJ35" s="707"/>
      <c r="SUK35" s="707"/>
      <c r="SUL35" s="707"/>
      <c r="SUM35" s="707"/>
      <c r="SUN35" s="707"/>
      <c r="SUO35" s="707"/>
      <c r="SUP35" s="707"/>
      <c r="SUQ35" s="707"/>
      <c r="SUR35" s="707"/>
      <c r="SUS35" s="707"/>
      <c r="SUT35" s="707"/>
      <c r="SUU35" s="707"/>
      <c r="SUV35" s="707"/>
      <c r="SUW35" s="707"/>
      <c r="SUX35" s="707"/>
      <c r="SUY35" s="707"/>
      <c r="SUZ35" s="707"/>
      <c r="SVA35" s="707"/>
      <c r="SVB35" s="707"/>
      <c r="SVC35" s="707"/>
      <c r="SVD35" s="707"/>
      <c r="SVE35" s="707"/>
      <c r="SVF35" s="707"/>
      <c r="SVG35" s="707"/>
      <c r="SVH35" s="707"/>
      <c r="SVI35" s="707"/>
      <c r="SVJ35" s="707"/>
      <c r="SVK35" s="707"/>
      <c r="SVL35" s="707"/>
      <c r="SVM35" s="707"/>
      <c r="SVN35" s="707"/>
      <c r="SVO35" s="707"/>
      <c r="SVP35" s="707"/>
      <c r="SVQ35" s="707"/>
      <c r="SVR35" s="707"/>
      <c r="SVS35" s="707"/>
      <c r="SVT35" s="707"/>
      <c r="SVU35" s="707"/>
      <c r="SVV35" s="707"/>
      <c r="SVW35" s="707"/>
      <c r="SVX35" s="707"/>
      <c r="SVY35" s="707"/>
      <c r="SVZ35" s="707"/>
      <c r="SWA35" s="707"/>
      <c r="SWB35" s="707"/>
      <c r="SWC35" s="707"/>
      <c r="SWD35" s="707"/>
      <c r="SWE35" s="707"/>
      <c r="SWF35" s="707"/>
      <c r="SWG35" s="707"/>
      <c r="SWH35" s="707"/>
      <c r="SWI35" s="707"/>
      <c r="SWJ35" s="707"/>
      <c r="SWK35" s="707"/>
      <c r="SWL35" s="707"/>
      <c r="SWM35" s="707"/>
      <c r="SWN35" s="707"/>
      <c r="SWO35" s="707"/>
      <c r="SWP35" s="707"/>
      <c r="SWQ35" s="707"/>
      <c r="SWR35" s="707"/>
      <c r="SWS35" s="707"/>
      <c r="SWT35" s="707"/>
      <c r="SWU35" s="707"/>
      <c r="SWV35" s="707"/>
      <c r="SWW35" s="707"/>
      <c r="SWX35" s="707"/>
      <c r="SWY35" s="707"/>
      <c r="SWZ35" s="707"/>
      <c r="SXA35" s="707"/>
      <c r="SXB35" s="707"/>
      <c r="SXC35" s="707"/>
      <c r="SXD35" s="707"/>
      <c r="SXE35" s="707"/>
      <c r="SXF35" s="707"/>
      <c r="SXG35" s="707"/>
      <c r="SXH35" s="707"/>
      <c r="SXI35" s="707"/>
      <c r="SXJ35" s="707"/>
      <c r="SXK35" s="707"/>
      <c r="SXL35" s="707"/>
      <c r="SXM35" s="707"/>
      <c r="SXN35" s="707"/>
      <c r="SXO35" s="707"/>
      <c r="SXP35" s="707"/>
      <c r="SXQ35" s="707"/>
      <c r="SXR35" s="707"/>
      <c r="SXS35" s="707"/>
      <c r="SXT35" s="707"/>
      <c r="SXU35" s="707"/>
      <c r="SXV35" s="707"/>
      <c r="SXW35" s="707"/>
      <c r="SXX35" s="707"/>
      <c r="SXY35" s="707"/>
      <c r="SXZ35" s="707"/>
      <c r="SYA35" s="707"/>
      <c r="SYB35" s="707"/>
      <c r="SYC35" s="707"/>
      <c r="SYD35" s="707"/>
      <c r="SYE35" s="707"/>
      <c r="SYF35" s="707"/>
      <c r="SYG35" s="707"/>
      <c r="SYH35" s="707"/>
      <c r="SYI35" s="707"/>
      <c r="SYJ35" s="707"/>
      <c r="SYK35" s="707"/>
      <c r="SYL35" s="707"/>
      <c r="SYM35" s="707"/>
      <c r="SYN35" s="707"/>
      <c r="SYO35" s="707"/>
      <c r="SYP35" s="707"/>
      <c r="SYQ35" s="707"/>
      <c r="SYR35" s="707"/>
      <c r="SYS35" s="707"/>
      <c r="SYT35" s="707"/>
      <c r="SYU35" s="707"/>
      <c r="SYV35" s="707"/>
      <c r="SYW35" s="707"/>
      <c r="SYX35" s="707"/>
      <c r="SYY35" s="707"/>
      <c r="SYZ35" s="707"/>
      <c r="SZA35" s="707"/>
      <c r="SZB35" s="707"/>
      <c r="SZC35" s="707"/>
      <c r="SZD35" s="707"/>
      <c r="SZE35" s="707"/>
      <c r="SZF35" s="707"/>
      <c r="SZG35" s="707"/>
      <c r="SZH35" s="707"/>
      <c r="SZI35" s="707"/>
      <c r="SZJ35" s="707"/>
      <c r="SZK35" s="707"/>
      <c r="SZL35" s="707"/>
      <c r="SZM35" s="707"/>
      <c r="SZN35" s="707"/>
      <c r="SZO35" s="707"/>
      <c r="SZP35" s="707"/>
      <c r="SZQ35" s="707"/>
      <c r="SZR35" s="707"/>
      <c r="SZS35" s="707"/>
      <c r="SZT35" s="707"/>
      <c r="SZU35" s="707"/>
      <c r="SZV35" s="707"/>
      <c r="SZW35" s="707"/>
      <c r="SZX35" s="707"/>
      <c r="SZY35" s="707"/>
      <c r="SZZ35" s="707"/>
      <c r="TAA35" s="707"/>
      <c r="TAB35" s="707"/>
      <c r="TAC35" s="707"/>
      <c r="TAD35" s="707"/>
      <c r="TAE35" s="707"/>
      <c r="TAF35" s="707"/>
      <c r="TAG35" s="707"/>
      <c r="TAH35" s="707"/>
      <c r="TAI35" s="707"/>
      <c r="TAJ35" s="707"/>
      <c r="TAK35" s="707"/>
      <c r="TAL35" s="707"/>
      <c r="TAM35" s="707"/>
      <c r="TAN35" s="707"/>
      <c r="TAO35" s="707"/>
      <c r="TAP35" s="707"/>
      <c r="TAQ35" s="707"/>
      <c r="TAR35" s="707"/>
      <c r="TAS35" s="707"/>
      <c r="TAT35" s="707"/>
      <c r="TAU35" s="707"/>
      <c r="TAV35" s="707"/>
      <c r="TAW35" s="707"/>
      <c r="TAX35" s="707"/>
      <c r="TAY35" s="707"/>
      <c r="TAZ35" s="707"/>
      <c r="TBA35" s="707"/>
      <c r="TBB35" s="707"/>
      <c r="TBC35" s="707"/>
      <c r="TBD35" s="707"/>
      <c r="TBE35" s="707"/>
      <c r="TBF35" s="707"/>
      <c r="TBG35" s="707"/>
      <c r="TBH35" s="707"/>
      <c r="TBI35" s="707"/>
      <c r="TBJ35" s="707"/>
      <c r="TBK35" s="707"/>
      <c r="TBL35" s="707"/>
      <c r="TBM35" s="707"/>
      <c r="TBN35" s="707"/>
      <c r="TBO35" s="707"/>
      <c r="TBP35" s="707"/>
      <c r="TBQ35" s="707"/>
      <c r="TBR35" s="707"/>
      <c r="TBS35" s="707"/>
      <c r="TBT35" s="707"/>
      <c r="TBU35" s="707"/>
      <c r="TBV35" s="707"/>
      <c r="TBW35" s="707"/>
      <c r="TBX35" s="707"/>
      <c r="TBY35" s="707"/>
      <c r="TBZ35" s="707"/>
      <c r="TCA35" s="707"/>
      <c r="TCB35" s="707"/>
      <c r="TCC35" s="707"/>
      <c r="TCD35" s="707"/>
      <c r="TCE35" s="707"/>
      <c r="TCF35" s="707"/>
      <c r="TCG35" s="707"/>
      <c r="TCH35" s="707"/>
      <c r="TCI35" s="707"/>
      <c r="TCJ35" s="707"/>
      <c r="TCK35" s="707"/>
      <c r="TCL35" s="707"/>
      <c r="TCM35" s="707"/>
      <c r="TCN35" s="707"/>
      <c r="TCO35" s="707"/>
      <c r="TCP35" s="707"/>
      <c r="TCQ35" s="707"/>
      <c r="TCR35" s="707"/>
      <c r="TCS35" s="707"/>
      <c r="TCT35" s="707"/>
      <c r="TCU35" s="707"/>
      <c r="TCV35" s="707"/>
      <c r="TCW35" s="707"/>
      <c r="TCX35" s="707"/>
      <c r="TCY35" s="707"/>
      <c r="TCZ35" s="707"/>
      <c r="TDA35" s="707"/>
      <c r="TDB35" s="707"/>
      <c r="TDC35" s="707"/>
      <c r="TDD35" s="707"/>
      <c r="TDE35" s="707"/>
      <c r="TDF35" s="707"/>
      <c r="TDG35" s="707"/>
      <c r="TDH35" s="707"/>
      <c r="TDI35" s="707"/>
      <c r="TDJ35" s="707"/>
      <c r="TDK35" s="707"/>
      <c r="TDL35" s="707"/>
      <c r="TDM35" s="707"/>
      <c r="TDN35" s="707"/>
      <c r="TDO35" s="707"/>
      <c r="TDP35" s="707"/>
      <c r="TDQ35" s="707"/>
      <c r="TDR35" s="707"/>
      <c r="TDS35" s="707"/>
      <c r="TDT35" s="707"/>
      <c r="TDU35" s="707"/>
      <c r="TDV35" s="707"/>
      <c r="TDW35" s="707"/>
      <c r="TDX35" s="707"/>
      <c r="TDY35" s="707"/>
      <c r="TDZ35" s="707"/>
      <c r="TEA35" s="707"/>
      <c r="TEB35" s="707"/>
      <c r="TEC35" s="707"/>
      <c r="TED35" s="707"/>
      <c r="TEE35" s="707"/>
      <c r="TEF35" s="707"/>
      <c r="TEG35" s="707"/>
      <c r="TEH35" s="707"/>
      <c r="TEI35" s="707"/>
      <c r="TEJ35" s="707"/>
      <c r="TEK35" s="707"/>
      <c r="TEL35" s="707"/>
      <c r="TEM35" s="707"/>
      <c r="TEN35" s="707"/>
      <c r="TEO35" s="707"/>
      <c r="TEP35" s="707"/>
      <c r="TEQ35" s="707"/>
      <c r="TER35" s="707"/>
      <c r="TES35" s="707"/>
      <c r="TET35" s="707"/>
      <c r="TEU35" s="707"/>
      <c r="TEV35" s="707"/>
      <c r="TEW35" s="707"/>
      <c r="TEX35" s="707"/>
      <c r="TEY35" s="707"/>
      <c r="TEZ35" s="707"/>
      <c r="TFA35" s="707"/>
      <c r="TFB35" s="707"/>
      <c r="TFC35" s="707"/>
      <c r="TFD35" s="707"/>
      <c r="TFE35" s="707"/>
      <c r="TFF35" s="707"/>
      <c r="TFG35" s="707"/>
      <c r="TFH35" s="707"/>
      <c r="TFI35" s="707"/>
      <c r="TFJ35" s="707"/>
      <c r="TFK35" s="707"/>
      <c r="TFL35" s="707"/>
      <c r="TFM35" s="707"/>
      <c r="TFN35" s="707"/>
      <c r="TFO35" s="707"/>
      <c r="TFP35" s="707"/>
      <c r="TFQ35" s="707"/>
      <c r="TFR35" s="707"/>
      <c r="TFS35" s="707"/>
      <c r="TFT35" s="707"/>
      <c r="TFU35" s="707"/>
      <c r="TFV35" s="707"/>
      <c r="TFW35" s="707"/>
      <c r="TFX35" s="707"/>
      <c r="TFY35" s="707"/>
      <c r="TFZ35" s="707"/>
      <c r="TGA35" s="707"/>
      <c r="TGB35" s="707"/>
      <c r="TGC35" s="707"/>
      <c r="TGD35" s="707"/>
      <c r="TGE35" s="707"/>
      <c r="TGF35" s="707"/>
      <c r="TGG35" s="707"/>
      <c r="TGH35" s="707"/>
      <c r="TGI35" s="707"/>
      <c r="TGJ35" s="707"/>
      <c r="TGK35" s="707"/>
      <c r="TGL35" s="707"/>
      <c r="TGM35" s="707"/>
      <c r="TGN35" s="707"/>
      <c r="TGO35" s="707"/>
      <c r="TGP35" s="707"/>
      <c r="TGQ35" s="707"/>
      <c r="TGR35" s="707"/>
      <c r="TGS35" s="707"/>
      <c r="TGT35" s="707"/>
      <c r="TGU35" s="707"/>
      <c r="TGV35" s="707"/>
      <c r="TGW35" s="707"/>
      <c r="TGX35" s="707"/>
      <c r="TGY35" s="707"/>
      <c r="TGZ35" s="707"/>
      <c r="THA35" s="707"/>
      <c r="THB35" s="707"/>
      <c r="THC35" s="707"/>
      <c r="THD35" s="707"/>
      <c r="THE35" s="707"/>
      <c r="THF35" s="707"/>
      <c r="THG35" s="707"/>
      <c r="THH35" s="707"/>
      <c r="THI35" s="707"/>
      <c r="THJ35" s="707"/>
      <c r="THK35" s="707"/>
      <c r="THL35" s="707"/>
      <c r="THM35" s="707"/>
      <c r="THN35" s="707"/>
      <c r="THO35" s="707"/>
      <c r="THP35" s="707"/>
      <c r="THQ35" s="707"/>
      <c r="THR35" s="707"/>
      <c r="THS35" s="707"/>
      <c r="THT35" s="707"/>
      <c r="THU35" s="707"/>
      <c r="THV35" s="707"/>
      <c r="THW35" s="707"/>
      <c r="THX35" s="707"/>
      <c r="THY35" s="707"/>
      <c r="THZ35" s="707"/>
      <c r="TIA35" s="707"/>
      <c r="TIB35" s="707"/>
      <c r="TIC35" s="707"/>
      <c r="TID35" s="707"/>
      <c r="TIE35" s="707"/>
      <c r="TIF35" s="707"/>
      <c r="TIG35" s="707"/>
      <c r="TIH35" s="707"/>
      <c r="TII35" s="707"/>
      <c r="TIJ35" s="707"/>
      <c r="TIK35" s="707"/>
      <c r="TIL35" s="707"/>
      <c r="TIM35" s="707"/>
      <c r="TIN35" s="707"/>
      <c r="TIO35" s="707"/>
      <c r="TIP35" s="707"/>
      <c r="TIQ35" s="707"/>
      <c r="TIR35" s="707"/>
      <c r="TIS35" s="707"/>
      <c r="TIT35" s="707"/>
      <c r="TIU35" s="707"/>
      <c r="TIV35" s="707"/>
      <c r="TIW35" s="707"/>
      <c r="TIX35" s="707"/>
      <c r="TIY35" s="707"/>
      <c r="TIZ35" s="707"/>
      <c r="TJA35" s="707"/>
      <c r="TJB35" s="707"/>
      <c r="TJC35" s="707"/>
      <c r="TJD35" s="707"/>
      <c r="TJE35" s="707"/>
      <c r="TJF35" s="707"/>
      <c r="TJG35" s="707"/>
      <c r="TJH35" s="707"/>
      <c r="TJI35" s="707"/>
      <c r="TJJ35" s="707"/>
      <c r="TJK35" s="707"/>
      <c r="TJL35" s="707"/>
      <c r="TJM35" s="707"/>
      <c r="TJN35" s="707"/>
      <c r="TJO35" s="707"/>
      <c r="TJP35" s="707"/>
      <c r="TJQ35" s="707"/>
      <c r="TJR35" s="707"/>
      <c r="TJS35" s="707"/>
      <c r="TJT35" s="707"/>
      <c r="TJU35" s="707"/>
      <c r="TJV35" s="707"/>
      <c r="TJW35" s="707"/>
      <c r="TJX35" s="707"/>
      <c r="TJY35" s="707"/>
      <c r="TJZ35" s="707"/>
      <c r="TKA35" s="707"/>
      <c r="TKB35" s="707"/>
      <c r="TKC35" s="707"/>
      <c r="TKD35" s="707"/>
      <c r="TKE35" s="707"/>
      <c r="TKF35" s="707"/>
      <c r="TKG35" s="707"/>
      <c r="TKH35" s="707"/>
      <c r="TKI35" s="707"/>
      <c r="TKJ35" s="707"/>
      <c r="TKK35" s="707"/>
      <c r="TKL35" s="707"/>
      <c r="TKM35" s="707"/>
      <c r="TKN35" s="707"/>
      <c r="TKO35" s="707"/>
      <c r="TKP35" s="707"/>
      <c r="TKQ35" s="707"/>
      <c r="TKR35" s="707"/>
      <c r="TKS35" s="707"/>
      <c r="TKT35" s="707"/>
      <c r="TKU35" s="707"/>
      <c r="TKV35" s="707"/>
      <c r="TKW35" s="707"/>
      <c r="TKX35" s="707"/>
      <c r="TKY35" s="707"/>
      <c r="TKZ35" s="707"/>
      <c r="TLA35" s="707"/>
      <c r="TLB35" s="707"/>
      <c r="TLC35" s="707"/>
      <c r="TLD35" s="707"/>
      <c r="TLE35" s="707"/>
      <c r="TLF35" s="707"/>
      <c r="TLG35" s="707"/>
      <c r="TLH35" s="707"/>
      <c r="TLI35" s="707"/>
      <c r="TLJ35" s="707"/>
      <c r="TLK35" s="707"/>
      <c r="TLL35" s="707"/>
      <c r="TLM35" s="707"/>
      <c r="TLN35" s="707"/>
      <c r="TLO35" s="707"/>
      <c r="TLP35" s="707"/>
      <c r="TLQ35" s="707"/>
      <c r="TLR35" s="707"/>
      <c r="TLS35" s="707"/>
      <c r="TLT35" s="707"/>
      <c r="TLU35" s="707"/>
      <c r="TLV35" s="707"/>
      <c r="TLW35" s="707"/>
      <c r="TLX35" s="707"/>
      <c r="TLY35" s="707"/>
      <c r="TLZ35" s="707"/>
      <c r="TMA35" s="707"/>
      <c r="TMB35" s="707"/>
      <c r="TMC35" s="707"/>
      <c r="TMD35" s="707"/>
      <c r="TME35" s="707"/>
      <c r="TMF35" s="707"/>
      <c r="TMG35" s="707"/>
      <c r="TMH35" s="707"/>
      <c r="TMI35" s="707"/>
      <c r="TMJ35" s="707"/>
      <c r="TMK35" s="707"/>
      <c r="TML35" s="707"/>
      <c r="TMM35" s="707"/>
      <c r="TMN35" s="707"/>
      <c r="TMO35" s="707"/>
      <c r="TMP35" s="707"/>
      <c r="TMQ35" s="707"/>
      <c r="TMR35" s="707"/>
      <c r="TMS35" s="707"/>
      <c r="TMT35" s="707"/>
      <c r="TMU35" s="707"/>
      <c r="TMV35" s="707"/>
      <c r="TMW35" s="707"/>
      <c r="TMX35" s="707"/>
      <c r="TMY35" s="707"/>
      <c r="TMZ35" s="707"/>
      <c r="TNA35" s="707"/>
      <c r="TNB35" s="707"/>
      <c r="TNC35" s="707"/>
      <c r="TND35" s="707"/>
      <c r="TNE35" s="707"/>
      <c r="TNF35" s="707"/>
      <c r="TNG35" s="707"/>
      <c r="TNH35" s="707"/>
      <c r="TNI35" s="707"/>
      <c r="TNJ35" s="707"/>
      <c r="TNK35" s="707"/>
      <c r="TNL35" s="707"/>
      <c r="TNM35" s="707"/>
      <c r="TNN35" s="707"/>
      <c r="TNO35" s="707"/>
      <c r="TNP35" s="707"/>
      <c r="TNQ35" s="707"/>
      <c r="TNR35" s="707"/>
      <c r="TNS35" s="707"/>
      <c r="TNT35" s="707"/>
      <c r="TNU35" s="707"/>
      <c r="TNV35" s="707"/>
      <c r="TNW35" s="707"/>
      <c r="TNX35" s="707"/>
      <c r="TNY35" s="707"/>
      <c r="TNZ35" s="707"/>
      <c r="TOA35" s="707"/>
      <c r="TOB35" s="707"/>
      <c r="TOC35" s="707"/>
      <c r="TOD35" s="707"/>
      <c r="TOE35" s="707"/>
      <c r="TOF35" s="707"/>
      <c r="TOG35" s="707"/>
      <c r="TOH35" s="707"/>
      <c r="TOI35" s="707"/>
      <c r="TOJ35" s="707"/>
      <c r="TOK35" s="707"/>
      <c r="TOL35" s="707"/>
      <c r="TOM35" s="707"/>
      <c r="TON35" s="707"/>
      <c r="TOO35" s="707"/>
      <c r="TOP35" s="707"/>
      <c r="TOQ35" s="707"/>
      <c r="TOR35" s="707"/>
      <c r="TOS35" s="707"/>
      <c r="TOT35" s="707"/>
      <c r="TOU35" s="707"/>
      <c r="TOV35" s="707"/>
      <c r="TOW35" s="707"/>
      <c r="TOX35" s="707"/>
      <c r="TOY35" s="707"/>
      <c r="TOZ35" s="707"/>
      <c r="TPA35" s="707"/>
      <c r="TPB35" s="707"/>
      <c r="TPC35" s="707"/>
      <c r="TPD35" s="707"/>
      <c r="TPE35" s="707"/>
      <c r="TPF35" s="707"/>
      <c r="TPG35" s="707"/>
      <c r="TPH35" s="707"/>
      <c r="TPI35" s="707"/>
      <c r="TPJ35" s="707"/>
      <c r="TPK35" s="707"/>
      <c r="TPL35" s="707"/>
      <c r="TPM35" s="707"/>
      <c r="TPN35" s="707"/>
      <c r="TPO35" s="707"/>
      <c r="TPP35" s="707"/>
      <c r="TPQ35" s="707"/>
      <c r="TPR35" s="707"/>
      <c r="TPS35" s="707"/>
      <c r="TPT35" s="707"/>
      <c r="TPU35" s="707"/>
      <c r="TPV35" s="707"/>
      <c r="TPW35" s="707"/>
      <c r="TPX35" s="707"/>
      <c r="TPY35" s="707"/>
      <c r="TPZ35" s="707"/>
      <c r="TQA35" s="707"/>
      <c r="TQB35" s="707"/>
      <c r="TQC35" s="707"/>
      <c r="TQD35" s="707"/>
      <c r="TQE35" s="707"/>
      <c r="TQF35" s="707"/>
      <c r="TQG35" s="707"/>
      <c r="TQH35" s="707"/>
      <c r="TQI35" s="707"/>
      <c r="TQJ35" s="707"/>
      <c r="TQK35" s="707"/>
      <c r="TQL35" s="707"/>
      <c r="TQM35" s="707"/>
      <c r="TQN35" s="707"/>
      <c r="TQO35" s="707"/>
      <c r="TQP35" s="707"/>
      <c r="TQQ35" s="707"/>
      <c r="TQR35" s="707"/>
      <c r="TQS35" s="707"/>
      <c r="TQT35" s="707"/>
      <c r="TQU35" s="707"/>
      <c r="TQV35" s="707"/>
      <c r="TQW35" s="707"/>
      <c r="TQX35" s="707"/>
      <c r="TQY35" s="707"/>
      <c r="TQZ35" s="707"/>
      <c r="TRA35" s="707"/>
      <c r="TRB35" s="707"/>
      <c r="TRC35" s="707"/>
      <c r="TRD35" s="707"/>
      <c r="TRE35" s="707"/>
      <c r="TRF35" s="707"/>
      <c r="TRG35" s="707"/>
      <c r="TRH35" s="707"/>
      <c r="TRI35" s="707"/>
      <c r="TRJ35" s="707"/>
      <c r="TRK35" s="707"/>
      <c r="TRL35" s="707"/>
      <c r="TRM35" s="707"/>
      <c r="TRN35" s="707"/>
      <c r="TRO35" s="707"/>
      <c r="TRP35" s="707"/>
      <c r="TRQ35" s="707"/>
      <c r="TRR35" s="707"/>
      <c r="TRS35" s="707"/>
      <c r="TRT35" s="707"/>
      <c r="TRU35" s="707"/>
      <c r="TRV35" s="707"/>
      <c r="TRW35" s="707"/>
      <c r="TRX35" s="707"/>
      <c r="TRY35" s="707"/>
      <c r="TRZ35" s="707"/>
      <c r="TSA35" s="707"/>
      <c r="TSB35" s="707"/>
      <c r="TSC35" s="707"/>
      <c r="TSD35" s="707"/>
      <c r="TSE35" s="707"/>
      <c r="TSF35" s="707"/>
      <c r="TSG35" s="707"/>
      <c r="TSH35" s="707"/>
      <c r="TSI35" s="707"/>
      <c r="TSJ35" s="707"/>
      <c r="TSK35" s="707"/>
      <c r="TSL35" s="707"/>
      <c r="TSM35" s="707"/>
      <c r="TSN35" s="707"/>
      <c r="TSO35" s="707"/>
      <c r="TSP35" s="707"/>
      <c r="TSQ35" s="707"/>
      <c r="TSR35" s="707"/>
      <c r="TSS35" s="707"/>
      <c r="TST35" s="707"/>
      <c r="TSU35" s="707"/>
      <c r="TSV35" s="707"/>
      <c r="TSW35" s="707"/>
      <c r="TSX35" s="707"/>
      <c r="TSY35" s="707"/>
      <c r="TSZ35" s="707"/>
      <c r="TTA35" s="707"/>
      <c r="TTB35" s="707"/>
      <c r="TTC35" s="707"/>
      <c r="TTD35" s="707"/>
      <c r="TTE35" s="707"/>
      <c r="TTF35" s="707"/>
      <c r="TTG35" s="707"/>
      <c r="TTH35" s="707"/>
      <c r="TTI35" s="707"/>
      <c r="TTJ35" s="707"/>
      <c r="TTK35" s="707"/>
      <c r="TTL35" s="707"/>
      <c r="TTM35" s="707"/>
      <c r="TTN35" s="707"/>
      <c r="TTO35" s="707"/>
      <c r="TTP35" s="707"/>
      <c r="TTQ35" s="707"/>
      <c r="TTR35" s="707"/>
      <c r="TTS35" s="707"/>
      <c r="TTT35" s="707"/>
      <c r="TTU35" s="707"/>
      <c r="TTV35" s="707"/>
      <c r="TTW35" s="707"/>
      <c r="TTX35" s="707"/>
      <c r="TTY35" s="707"/>
      <c r="TTZ35" s="707"/>
      <c r="TUA35" s="707"/>
      <c r="TUB35" s="707"/>
      <c r="TUC35" s="707"/>
      <c r="TUD35" s="707"/>
      <c r="TUE35" s="707"/>
      <c r="TUF35" s="707"/>
      <c r="TUG35" s="707"/>
      <c r="TUH35" s="707"/>
      <c r="TUI35" s="707"/>
      <c r="TUJ35" s="707"/>
      <c r="TUK35" s="707"/>
      <c r="TUL35" s="707"/>
      <c r="TUM35" s="707"/>
      <c r="TUN35" s="707"/>
      <c r="TUO35" s="707"/>
      <c r="TUP35" s="707"/>
      <c r="TUQ35" s="707"/>
      <c r="TUR35" s="707"/>
      <c r="TUS35" s="707"/>
      <c r="TUT35" s="707"/>
      <c r="TUU35" s="707"/>
      <c r="TUV35" s="707"/>
      <c r="TUW35" s="707"/>
      <c r="TUX35" s="707"/>
      <c r="TUY35" s="707"/>
      <c r="TUZ35" s="707"/>
      <c r="TVA35" s="707"/>
      <c r="TVB35" s="707"/>
      <c r="TVC35" s="707"/>
      <c r="TVD35" s="707"/>
      <c r="TVE35" s="707"/>
      <c r="TVF35" s="707"/>
      <c r="TVG35" s="707"/>
      <c r="TVH35" s="707"/>
      <c r="TVI35" s="707"/>
      <c r="TVJ35" s="707"/>
      <c r="TVK35" s="707"/>
      <c r="TVL35" s="707"/>
      <c r="TVM35" s="707"/>
      <c r="TVN35" s="707"/>
      <c r="TVO35" s="707"/>
      <c r="TVP35" s="707"/>
      <c r="TVQ35" s="707"/>
      <c r="TVR35" s="707"/>
      <c r="TVS35" s="707"/>
      <c r="TVT35" s="707"/>
      <c r="TVU35" s="707"/>
      <c r="TVV35" s="707"/>
      <c r="TVW35" s="707"/>
      <c r="TVX35" s="707"/>
      <c r="TVY35" s="707"/>
      <c r="TVZ35" s="707"/>
      <c r="TWA35" s="707"/>
      <c r="TWB35" s="707"/>
      <c r="TWC35" s="707"/>
      <c r="TWD35" s="707"/>
      <c r="TWE35" s="707"/>
      <c r="TWF35" s="707"/>
      <c r="TWG35" s="707"/>
      <c r="TWH35" s="707"/>
      <c r="TWI35" s="707"/>
      <c r="TWJ35" s="707"/>
      <c r="TWK35" s="707"/>
      <c r="TWL35" s="707"/>
      <c r="TWM35" s="707"/>
      <c r="TWN35" s="707"/>
      <c r="TWO35" s="707"/>
      <c r="TWP35" s="707"/>
      <c r="TWQ35" s="707"/>
      <c r="TWR35" s="707"/>
      <c r="TWS35" s="707"/>
      <c r="TWT35" s="707"/>
      <c r="TWU35" s="707"/>
      <c r="TWV35" s="707"/>
      <c r="TWW35" s="707"/>
      <c r="TWX35" s="707"/>
      <c r="TWY35" s="707"/>
      <c r="TWZ35" s="707"/>
      <c r="TXA35" s="707"/>
      <c r="TXB35" s="707"/>
      <c r="TXC35" s="707"/>
      <c r="TXD35" s="707"/>
      <c r="TXE35" s="707"/>
      <c r="TXF35" s="707"/>
      <c r="TXG35" s="707"/>
      <c r="TXH35" s="707"/>
      <c r="TXI35" s="707"/>
      <c r="TXJ35" s="707"/>
      <c r="TXK35" s="707"/>
      <c r="TXL35" s="707"/>
      <c r="TXM35" s="707"/>
      <c r="TXN35" s="707"/>
      <c r="TXO35" s="707"/>
      <c r="TXP35" s="707"/>
      <c r="TXQ35" s="707"/>
      <c r="TXR35" s="707"/>
      <c r="TXS35" s="707"/>
      <c r="TXT35" s="707"/>
      <c r="TXU35" s="707"/>
      <c r="TXV35" s="707"/>
      <c r="TXW35" s="707"/>
      <c r="TXX35" s="707"/>
      <c r="TXY35" s="707"/>
      <c r="TXZ35" s="707"/>
      <c r="TYA35" s="707"/>
      <c r="TYB35" s="707"/>
      <c r="TYC35" s="707"/>
      <c r="TYD35" s="707"/>
      <c r="TYE35" s="707"/>
      <c r="TYF35" s="707"/>
      <c r="TYG35" s="707"/>
      <c r="TYH35" s="707"/>
      <c r="TYI35" s="707"/>
      <c r="TYJ35" s="707"/>
      <c r="TYK35" s="707"/>
      <c r="TYL35" s="707"/>
      <c r="TYM35" s="707"/>
      <c r="TYN35" s="707"/>
      <c r="TYO35" s="707"/>
      <c r="TYP35" s="707"/>
      <c r="TYQ35" s="707"/>
      <c r="TYR35" s="707"/>
      <c r="TYS35" s="707"/>
      <c r="TYT35" s="707"/>
      <c r="TYU35" s="707"/>
      <c r="TYV35" s="707"/>
      <c r="TYW35" s="707"/>
      <c r="TYX35" s="707"/>
      <c r="TYY35" s="707"/>
      <c r="TYZ35" s="707"/>
      <c r="TZA35" s="707"/>
      <c r="TZB35" s="707"/>
      <c r="TZC35" s="707"/>
      <c r="TZD35" s="707"/>
      <c r="TZE35" s="707"/>
      <c r="TZF35" s="707"/>
      <c r="TZG35" s="707"/>
      <c r="TZH35" s="707"/>
      <c r="TZI35" s="707"/>
      <c r="TZJ35" s="707"/>
      <c r="TZK35" s="707"/>
      <c r="TZL35" s="707"/>
      <c r="TZM35" s="707"/>
      <c r="TZN35" s="707"/>
      <c r="TZO35" s="707"/>
      <c r="TZP35" s="707"/>
      <c r="TZQ35" s="707"/>
      <c r="TZR35" s="707"/>
      <c r="TZS35" s="707"/>
      <c r="TZT35" s="707"/>
      <c r="TZU35" s="707"/>
      <c r="TZV35" s="707"/>
      <c r="TZW35" s="707"/>
      <c r="TZX35" s="707"/>
      <c r="TZY35" s="707"/>
      <c r="TZZ35" s="707"/>
      <c r="UAA35" s="707"/>
      <c r="UAB35" s="707"/>
      <c r="UAC35" s="707"/>
      <c r="UAD35" s="707"/>
      <c r="UAE35" s="707"/>
      <c r="UAF35" s="707"/>
      <c r="UAG35" s="707"/>
      <c r="UAH35" s="707"/>
      <c r="UAI35" s="707"/>
      <c r="UAJ35" s="707"/>
      <c r="UAK35" s="707"/>
      <c r="UAL35" s="707"/>
      <c r="UAM35" s="707"/>
      <c r="UAN35" s="707"/>
      <c r="UAO35" s="707"/>
      <c r="UAP35" s="707"/>
      <c r="UAQ35" s="707"/>
      <c r="UAR35" s="707"/>
      <c r="UAS35" s="707"/>
      <c r="UAT35" s="707"/>
      <c r="UAU35" s="707"/>
      <c r="UAV35" s="707"/>
      <c r="UAW35" s="707"/>
      <c r="UAX35" s="707"/>
      <c r="UAY35" s="707"/>
      <c r="UAZ35" s="707"/>
      <c r="UBA35" s="707"/>
      <c r="UBB35" s="707"/>
      <c r="UBC35" s="707"/>
      <c r="UBD35" s="707"/>
      <c r="UBE35" s="707"/>
      <c r="UBF35" s="707"/>
      <c r="UBG35" s="707"/>
      <c r="UBH35" s="707"/>
      <c r="UBI35" s="707"/>
      <c r="UBJ35" s="707"/>
      <c r="UBK35" s="707"/>
      <c r="UBL35" s="707"/>
      <c r="UBM35" s="707"/>
      <c r="UBN35" s="707"/>
      <c r="UBO35" s="707"/>
      <c r="UBP35" s="707"/>
      <c r="UBQ35" s="707"/>
      <c r="UBR35" s="707"/>
      <c r="UBS35" s="707"/>
      <c r="UBT35" s="707"/>
      <c r="UBU35" s="707"/>
      <c r="UBV35" s="707"/>
      <c r="UBW35" s="707"/>
      <c r="UBX35" s="707"/>
      <c r="UBY35" s="707"/>
      <c r="UBZ35" s="707"/>
      <c r="UCA35" s="707"/>
      <c r="UCB35" s="707"/>
      <c r="UCC35" s="707"/>
      <c r="UCD35" s="707"/>
      <c r="UCE35" s="707"/>
      <c r="UCF35" s="707"/>
      <c r="UCG35" s="707"/>
      <c r="UCH35" s="707"/>
      <c r="UCI35" s="707"/>
      <c r="UCJ35" s="707"/>
      <c r="UCK35" s="707"/>
      <c r="UCL35" s="707"/>
      <c r="UCM35" s="707"/>
      <c r="UCN35" s="707"/>
      <c r="UCO35" s="707"/>
      <c r="UCP35" s="707"/>
      <c r="UCQ35" s="707"/>
      <c r="UCR35" s="707"/>
      <c r="UCS35" s="707"/>
      <c r="UCT35" s="707"/>
      <c r="UCU35" s="707"/>
      <c r="UCV35" s="707"/>
      <c r="UCW35" s="707"/>
      <c r="UCX35" s="707"/>
      <c r="UCY35" s="707"/>
      <c r="UCZ35" s="707"/>
      <c r="UDA35" s="707"/>
      <c r="UDB35" s="707"/>
      <c r="UDC35" s="707"/>
      <c r="UDD35" s="707"/>
      <c r="UDE35" s="707"/>
      <c r="UDF35" s="707"/>
      <c r="UDG35" s="707"/>
      <c r="UDH35" s="707"/>
      <c r="UDI35" s="707"/>
      <c r="UDJ35" s="707"/>
      <c r="UDK35" s="707"/>
      <c r="UDL35" s="707"/>
      <c r="UDM35" s="707"/>
      <c r="UDN35" s="707"/>
      <c r="UDO35" s="707"/>
      <c r="UDP35" s="707"/>
      <c r="UDQ35" s="707"/>
      <c r="UDR35" s="707"/>
      <c r="UDS35" s="707"/>
      <c r="UDT35" s="707"/>
      <c r="UDU35" s="707"/>
      <c r="UDV35" s="707"/>
      <c r="UDW35" s="707"/>
      <c r="UDX35" s="707"/>
      <c r="UDY35" s="707"/>
      <c r="UDZ35" s="707"/>
      <c r="UEA35" s="707"/>
      <c r="UEB35" s="707"/>
      <c r="UEC35" s="707"/>
      <c r="UED35" s="707"/>
      <c r="UEE35" s="707"/>
      <c r="UEF35" s="707"/>
      <c r="UEG35" s="707"/>
      <c r="UEH35" s="707"/>
      <c r="UEI35" s="707"/>
      <c r="UEJ35" s="707"/>
      <c r="UEK35" s="707"/>
      <c r="UEL35" s="707"/>
      <c r="UEM35" s="707"/>
      <c r="UEN35" s="707"/>
      <c r="UEO35" s="707"/>
      <c r="UEP35" s="707"/>
      <c r="UEQ35" s="707"/>
      <c r="UER35" s="707"/>
      <c r="UES35" s="707"/>
      <c r="UET35" s="707"/>
      <c r="UEU35" s="707"/>
      <c r="UEV35" s="707"/>
      <c r="UEW35" s="707"/>
      <c r="UEX35" s="707"/>
      <c r="UEY35" s="707"/>
      <c r="UEZ35" s="707"/>
      <c r="UFA35" s="707"/>
      <c r="UFB35" s="707"/>
      <c r="UFC35" s="707"/>
      <c r="UFD35" s="707"/>
      <c r="UFE35" s="707"/>
      <c r="UFF35" s="707"/>
      <c r="UFG35" s="707"/>
      <c r="UFH35" s="707"/>
      <c r="UFI35" s="707"/>
      <c r="UFJ35" s="707"/>
      <c r="UFK35" s="707"/>
      <c r="UFL35" s="707"/>
      <c r="UFM35" s="707"/>
      <c r="UFN35" s="707"/>
      <c r="UFO35" s="707"/>
      <c r="UFP35" s="707"/>
      <c r="UFQ35" s="707"/>
      <c r="UFR35" s="707"/>
      <c r="UFS35" s="707"/>
      <c r="UFT35" s="707"/>
      <c r="UFU35" s="707"/>
      <c r="UFV35" s="707"/>
      <c r="UFW35" s="707"/>
      <c r="UFX35" s="707"/>
      <c r="UFY35" s="707"/>
      <c r="UFZ35" s="707"/>
      <c r="UGA35" s="707"/>
      <c r="UGB35" s="707"/>
      <c r="UGC35" s="707"/>
      <c r="UGD35" s="707"/>
      <c r="UGE35" s="707"/>
      <c r="UGF35" s="707"/>
      <c r="UGG35" s="707"/>
      <c r="UGH35" s="707"/>
      <c r="UGI35" s="707"/>
      <c r="UGJ35" s="707"/>
      <c r="UGK35" s="707"/>
      <c r="UGL35" s="707"/>
      <c r="UGM35" s="707"/>
      <c r="UGN35" s="707"/>
      <c r="UGO35" s="707"/>
      <c r="UGP35" s="707"/>
      <c r="UGQ35" s="707"/>
      <c r="UGR35" s="707"/>
      <c r="UGS35" s="707"/>
      <c r="UGT35" s="707"/>
      <c r="UGU35" s="707"/>
      <c r="UGV35" s="707"/>
      <c r="UGW35" s="707"/>
      <c r="UGX35" s="707"/>
      <c r="UGY35" s="707"/>
      <c r="UGZ35" s="707"/>
      <c r="UHA35" s="707"/>
      <c r="UHB35" s="707"/>
      <c r="UHC35" s="707"/>
      <c r="UHD35" s="707"/>
      <c r="UHE35" s="707"/>
      <c r="UHF35" s="707"/>
      <c r="UHG35" s="707"/>
      <c r="UHH35" s="707"/>
      <c r="UHI35" s="707"/>
      <c r="UHJ35" s="707"/>
      <c r="UHK35" s="707"/>
      <c r="UHL35" s="707"/>
      <c r="UHM35" s="707"/>
      <c r="UHN35" s="707"/>
      <c r="UHO35" s="707"/>
      <c r="UHP35" s="707"/>
      <c r="UHQ35" s="707"/>
      <c r="UHR35" s="707"/>
      <c r="UHS35" s="707"/>
      <c r="UHT35" s="707"/>
      <c r="UHU35" s="707"/>
      <c r="UHV35" s="707"/>
      <c r="UHW35" s="707"/>
      <c r="UHX35" s="707"/>
      <c r="UHY35" s="707"/>
      <c r="UHZ35" s="707"/>
      <c r="UIA35" s="707"/>
      <c r="UIB35" s="707"/>
      <c r="UIC35" s="707"/>
      <c r="UID35" s="707"/>
      <c r="UIE35" s="707"/>
      <c r="UIF35" s="707"/>
      <c r="UIG35" s="707"/>
      <c r="UIH35" s="707"/>
      <c r="UII35" s="707"/>
      <c r="UIJ35" s="707"/>
      <c r="UIK35" s="707"/>
      <c r="UIL35" s="707"/>
      <c r="UIM35" s="707"/>
      <c r="UIN35" s="707"/>
      <c r="UIO35" s="707"/>
      <c r="UIP35" s="707"/>
      <c r="UIQ35" s="707"/>
      <c r="UIR35" s="707"/>
      <c r="UIS35" s="707"/>
      <c r="UIT35" s="707"/>
      <c r="UIU35" s="707"/>
      <c r="UIV35" s="707"/>
      <c r="UIW35" s="707"/>
      <c r="UIX35" s="707"/>
      <c r="UIY35" s="707"/>
      <c r="UIZ35" s="707"/>
      <c r="UJA35" s="707"/>
      <c r="UJB35" s="707"/>
      <c r="UJC35" s="707"/>
      <c r="UJD35" s="707"/>
      <c r="UJE35" s="707"/>
      <c r="UJF35" s="707"/>
      <c r="UJG35" s="707"/>
      <c r="UJH35" s="707"/>
      <c r="UJI35" s="707"/>
      <c r="UJJ35" s="707"/>
      <c r="UJK35" s="707"/>
      <c r="UJL35" s="707"/>
      <c r="UJM35" s="707"/>
      <c r="UJN35" s="707"/>
      <c r="UJO35" s="707"/>
      <c r="UJP35" s="707"/>
      <c r="UJQ35" s="707"/>
      <c r="UJR35" s="707"/>
      <c r="UJS35" s="707"/>
      <c r="UJT35" s="707"/>
      <c r="UJU35" s="707"/>
      <c r="UJV35" s="707"/>
      <c r="UJW35" s="707"/>
      <c r="UJX35" s="707"/>
      <c r="UJY35" s="707"/>
      <c r="UJZ35" s="707"/>
      <c r="UKA35" s="707"/>
      <c r="UKB35" s="707"/>
      <c r="UKC35" s="707"/>
      <c r="UKD35" s="707"/>
      <c r="UKE35" s="707"/>
      <c r="UKF35" s="707"/>
      <c r="UKG35" s="707"/>
      <c r="UKH35" s="707"/>
      <c r="UKI35" s="707"/>
      <c r="UKJ35" s="707"/>
      <c r="UKK35" s="707"/>
      <c r="UKL35" s="707"/>
      <c r="UKM35" s="707"/>
      <c r="UKN35" s="707"/>
      <c r="UKO35" s="707"/>
      <c r="UKP35" s="707"/>
      <c r="UKQ35" s="707"/>
      <c r="UKR35" s="707"/>
      <c r="UKS35" s="707"/>
      <c r="UKT35" s="707"/>
      <c r="UKU35" s="707"/>
      <c r="UKV35" s="707"/>
      <c r="UKW35" s="707"/>
      <c r="UKX35" s="707"/>
      <c r="UKY35" s="707"/>
      <c r="UKZ35" s="707"/>
      <c r="ULA35" s="707"/>
      <c r="ULB35" s="707"/>
      <c r="ULC35" s="707"/>
      <c r="ULD35" s="707"/>
      <c r="ULE35" s="707"/>
      <c r="ULF35" s="707"/>
      <c r="ULG35" s="707"/>
      <c r="ULH35" s="707"/>
      <c r="ULI35" s="707"/>
      <c r="ULJ35" s="707"/>
      <c r="ULK35" s="707"/>
      <c r="ULL35" s="707"/>
      <c r="ULM35" s="707"/>
      <c r="ULN35" s="707"/>
      <c r="ULO35" s="707"/>
      <c r="ULP35" s="707"/>
      <c r="ULQ35" s="707"/>
      <c r="ULR35" s="707"/>
      <c r="ULS35" s="707"/>
      <c r="ULT35" s="707"/>
      <c r="ULU35" s="707"/>
      <c r="ULV35" s="707"/>
      <c r="ULW35" s="707"/>
      <c r="ULX35" s="707"/>
      <c r="ULY35" s="707"/>
      <c r="ULZ35" s="707"/>
      <c r="UMA35" s="707"/>
      <c r="UMB35" s="707"/>
      <c r="UMC35" s="707"/>
      <c r="UMD35" s="707"/>
      <c r="UME35" s="707"/>
      <c r="UMF35" s="707"/>
      <c r="UMG35" s="707"/>
      <c r="UMH35" s="707"/>
      <c r="UMI35" s="707"/>
      <c r="UMJ35" s="707"/>
      <c r="UMK35" s="707"/>
      <c r="UML35" s="707"/>
      <c r="UMM35" s="707"/>
      <c r="UMN35" s="707"/>
      <c r="UMO35" s="707"/>
      <c r="UMP35" s="707"/>
      <c r="UMQ35" s="707"/>
      <c r="UMR35" s="707"/>
      <c r="UMS35" s="707"/>
      <c r="UMT35" s="707"/>
      <c r="UMU35" s="707"/>
      <c r="UMV35" s="707"/>
      <c r="UMW35" s="707"/>
      <c r="UMX35" s="707"/>
      <c r="UMY35" s="707"/>
      <c r="UMZ35" s="707"/>
      <c r="UNA35" s="707"/>
      <c r="UNB35" s="707"/>
      <c r="UNC35" s="707"/>
      <c r="UND35" s="707"/>
      <c r="UNE35" s="707"/>
      <c r="UNF35" s="707"/>
      <c r="UNG35" s="707"/>
      <c r="UNH35" s="707"/>
      <c r="UNI35" s="707"/>
      <c r="UNJ35" s="707"/>
      <c r="UNK35" s="707"/>
      <c r="UNL35" s="707"/>
      <c r="UNM35" s="707"/>
      <c r="UNN35" s="707"/>
      <c r="UNO35" s="707"/>
      <c r="UNP35" s="707"/>
      <c r="UNQ35" s="707"/>
      <c r="UNR35" s="707"/>
      <c r="UNS35" s="707"/>
      <c r="UNT35" s="707"/>
      <c r="UNU35" s="707"/>
      <c r="UNV35" s="707"/>
      <c r="UNW35" s="707"/>
      <c r="UNX35" s="707"/>
      <c r="UNY35" s="707"/>
      <c r="UNZ35" s="707"/>
      <c r="UOA35" s="707"/>
      <c r="UOB35" s="707"/>
      <c r="UOC35" s="707"/>
      <c r="UOD35" s="707"/>
      <c r="UOE35" s="707"/>
      <c r="UOF35" s="707"/>
      <c r="UOG35" s="707"/>
      <c r="UOH35" s="707"/>
      <c r="UOI35" s="707"/>
      <c r="UOJ35" s="707"/>
      <c r="UOK35" s="707"/>
      <c r="UOL35" s="707"/>
      <c r="UOM35" s="707"/>
      <c r="UON35" s="707"/>
      <c r="UOO35" s="707"/>
      <c r="UOP35" s="707"/>
      <c r="UOQ35" s="707"/>
      <c r="UOR35" s="707"/>
      <c r="UOS35" s="707"/>
      <c r="UOT35" s="707"/>
      <c r="UOU35" s="707"/>
      <c r="UOV35" s="707"/>
      <c r="UOW35" s="707"/>
      <c r="UOX35" s="707"/>
      <c r="UOY35" s="707"/>
      <c r="UOZ35" s="707"/>
      <c r="UPA35" s="707"/>
      <c r="UPB35" s="707"/>
      <c r="UPC35" s="707"/>
      <c r="UPD35" s="707"/>
      <c r="UPE35" s="707"/>
      <c r="UPF35" s="707"/>
      <c r="UPG35" s="707"/>
      <c r="UPH35" s="707"/>
      <c r="UPI35" s="707"/>
      <c r="UPJ35" s="707"/>
      <c r="UPK35" s="707"/>
      <c r="UPL35" s="707"/>
      <c r="UPM35" s="707"/>
      <c r="UPN35" s="707"/>
      <c r="UPO35" s="707"/>
      <c r="UPP35" s="707"/>
      <c r="UPQ35" s="707"/>
      <c r="UPR35" s="707"/>
      <c r="UPS35" s="707"/>
      <c r="UPT35" s="707"/>
      <c r="UPU35" s="707"/>
      <c r="UPV35" s="707"/>
      <c r="UPW35" s="707"/>
      <c r="UPX35" s="707"/>
      <c r="UPY35" s="707"/>
      <c r="UPZ35" s="707"/>
      <c r="UQA35" s="707"/>
      <c r="UQB35" s="707"/>
      <c r="UQC35" s="707"/>
      <c r="UQD35" s="707"/>
      <c r="UQE35" s="707"/>
      <c r="UQF35" s="707"/>
      <c r="UQG35" s="707"/>
      <c r="UQH35" s="707"/>
      <c r="UQI35" s="707"/>
      <c r="UQJ35" s="707"/>
      <c r="UQK35" s="707"/>
      <c r="UQL35" s="707"/>
      <c r="UQM35" s="707"/>
      <c r="UQN35" s="707"/>
      <c r="UQO35" s="707"/>
      <c r="UQP35" s="707"/>
      <c r="UQQ35" s="707"/>
      <c r="UQR35" s="707"/>
      <c r="UQS35" s="707"/>
      <c r="UQT35" s="707"/>
      <c r="UQU35" s="707"/>
      <c r="UQV35" s="707"/>
      <c r="UQW35" s="707"/>
      <c r="UQX35" s="707"/>
      <c r="UQY35" s="707"/>
      <c r="UQZ35" s="707"/>
      <c r="URA35" s="707"/>
      <c r="URB35" s="707"/>
      <c r="URC35" s="707"/>
      <c r="URD35" s="707"/>
      <c r="URE35" s="707"/>
      <c r="URF35" s="707"/>
      <c r="URG35" s="707"/>
      <c r="URH35" s="707"/>
      <c r="URI35" s="707"/>
      <c r="URJ35" s="707"/>
      <c r="URK35" s="707"/>
      <c r="URL35" s="707"/>
      <c r="URM35" s="707"/>
      <c r="URN35" s="707"/>
      <c r="URO35" s="707"/>
      <c r="URP35" s="707"/>
      <c r="URQ35" s="707"/>
      <c r="URR35" s="707"/>
      <c r="URS35" s="707"/>
      <c r="URT35" s="707"/>
      <c r="URU35" s="707"/>
      <c r="URV35" s="707"/>
      <c r="URW35" s="707"/>
      <c r="URX35" s="707"/>
      <c r="URY35" s="707"/>
      <c r="URZ35" s="707"/>
      <c r="USA35" s="707"/>
      <c r="USB35" s="707"/>
      <c r="USC35" s="707"/>
      <c r="USD35" s="707"/>
      <c r="USE35" s="707"/>
      <c r="USF35" s="707"/>
      <c r="USG35" s="707"/>
      <c r="USH35" s="707"/>
      <c r="USI35" s="707"/>
      <c r="USJ35" s="707"/>
      <c r="USK35" s="707"/>
      <c r="USL35" s="707"/>
      <c r="USM35" s="707"/>
      <c r="USN35" s="707"/>
      <c r="USO35" s="707"/>
      <c r="USP35" s="707"/>
      <c r="USQ35" s="707"/>
      <c r="USR35" s="707"/>
      <c r="USS35" s="707"/>
      <c r="UST35" s="707"/>
      <c r="USU35" s="707"/>
      <c r="USV35" s="707"/>
      <c r="USW35" s="707"/>
      <c r="USX35" s="707"/>
      <c r="USY35" s="707"/>
      <c r="USZ35" s="707"/>
      <c r="UTA35" s="707"/>
      <c r="UTB35" s="707"/>
      <c r="UTC35" s="707"/>
      <c r="UTD35" s="707"/>
      <c r="UTE35" s="707"/>
      <c r="UTF35" s="707"/>
      <c r="UTG35" s="707"/>
      <c r="UTH35" s="707"/>
      <c r="UTI35" s="707"/>
      <c r="UTJ35" s="707"/>
      <c r="UTK35" s="707"/>
      <c r="UTL35" s="707"/>
      <c r="UTM35" s="707"/>
      <c r="UTN35" s="707"/>
      <c r="UTO35" s="707"/>
      <c r="UTP35" s="707"/>
      <c r="UTQ35" s="707"/>
      <c r="UTR35" s="707"/>
      <c r="UTS35" s="707"/>
      <c r="UTT35" s="707"/>
      <c r="UTU35" s="707"/>
      <c r="UTV35" s="707"/>
      <c r="UTW35" s="707"/>
      <c r="UTX35" s="707"/>
      <c r="UTY35" s="707"/>
      <c r="UTZ35" s="707"/>
      <c r="UUA35" s="707"/>
      <c r="UUB35" s="707"/>
      <c r="UUC35" s="707"/>
      <c r="UUD35" s="707"/>
      <c r="UUE35" s="707"/>
      <c r="UUF35" s="707"/>
      <c r="UUG35" s="707"/>
      <c r="UUH35" s="707"/>
      <c r="UUI35" s="707"/>
      <c r="UUJ35" s="707"/>
      <c r="UUK35" s="707"/>
      <c r="UUL35" s="707"/>
      <c r="UUM35" s="707"/>
      <c r="UUN35" s="707"/>
      <c r="UUO35" s="707"/>
      <c r="UUP35" s="707"/>
      <c r="UUQ35" s="707"/>
      <c r="UUR35" s="707"/>
      <c r="UUS35" s="707"/>
      <c r="UUT35" s="707"/>
      <c r="UUU35" s="707"/>
      <c r="UUV35" s="707"/>
      <c r="UUW35" s="707"/>
      <c r="UUX35" s="707"/>
      <c r="UUY35" s="707"/>
      <c r="UUZ35" s="707"/>
      <c r="UVA35" s="707"/>
      <c r="UVB35" s="707"/>
      <c r="UVC35" s="707"/>
      <c r="UVD35" s="707"/>
      <c r="UVE35" s="707"/>
      <c r="UVF35" s="707"/>
      <c r="UVG35" s="707"/>
      <c r="UVH35" s="707"/>
      <c r="UVI35" s="707"/>
      <c r="UVJ35" s="707"/>
      <c r="UVK35" s="707"/>
      <c r="UVL35" s="707"/>
      <c r="UVM35" s="707"/>
      <c r="UVN35" s="707"/>
      <c r="UVO35" s="707"/>
      <c r="UVP35" s="707"/>
      <c r="UVQ35" s="707"/>
      <c r="UVR35" s="707"/>
      <c r="UVS35" s="707"/>
      <c r="UVT35" s="707"/>
      <c r="UVU35" s="707"/>
      <c r="UVV35" s="707"/>
      <c r="UVW35" s="707"/>
      <c r="UVX35" s="707"/>
      <c r="UVY35" s="707"/>
      <c r="UVZ35" s="707"/>
      <c r="UWA35" s="707"/>
      <c r="UWB35" s="707"/>
      <c r="UWC35" s="707"/>
      <c r="UWD35" s="707"/>
      <c r="UWE35" s="707"/>
      <c r="UWF35" s="707"/>
      <c r="UWG35" s="707"/>
      <c r="UWH35" s="707"/>
      <c r="UWI35" s="707"/>
      <c r="UWJ35" s="707"/>
      <c r="UWK35" s="707"/>
      <c r="UWL35" s="707"/>
      <c r="UWM35" s="707"/>
      <c r="UWN35" s="707"/>
      <c r="UWO35" s="707"/>
      <c r="UWP35" s="707"/>
      <c r="UWQ35" s="707"/>
      <c r="UWR35" s="707"/>
      <c r="UWS35" s="707"/>
      <c r="UWT35" s="707"/>
      <c r="UWU35" s="707"/>
      <c r="UWV35" s="707"/>
      <c r="UWW35" s="707"/>
      <c r="UWX35" s="707"/>
      <c r="UWY35" s="707"/>
      <c r="UWZ35" s="707"/>
      <c r="UXA35" s="707"/>
      <c r="UXB35" s="707"/>
      <c r="UXC35" s="707"/>
      <c r="UXD35" s="707"/>
      <c r="UXE35" s="707"/>
      <c r="UXF35" s="707"/>
      <c r="UXG35" s="707"/>
      <c r="UXH35" s="707"/>
      <c r="UXI35" s="707"/>
      <c r="UXJ35" s="707"/>
      <c r="UXK35" s="707"/>
      <c r="UXL35" s="707"/>
      <c r="UXM35" s="707"/>
      <c r="UXN35" s="707"/>
      <c r="UXO35" s="707"/>
      <c r="UXP35" s="707"/>
      <c r="UXQ35" s="707"/>
      <c r="UXR35" s="707"/>
      <c r="UXS35" s="707"/>
      <c r="UXT35" s="707"/>
      <c r="UXU35" s="707"/>
      <c r="UXV35" s="707"/>
      <c r="UXW35" s="707"/>
      <c r="UXX35" s="707"/>
      <c r="UXY35" s="707"/>
      <c r="UXZ35" s="707"/>
      <c r="UYA35" s="707"/>
      <c r="UYB35" s="707"/>
      <c r="UYC35" s="707"/>
      <c r="UYD35" s="707"/>
      <c r="UYE35" s="707"/>
      <c r="UYF35" s="707"/>
      <c r="UYG35" s="707"/>
      <c r="UYH35" s="707"/>
      <c r="UYI35" s="707"/>
      <c r="UYJ35" s="707"/>
      <c r="UYK35" s="707"/>
      <c r="UYL35" s="707"/>
      <c r="UYM35" s="707"/>
      <c r="UYN35" s="707"/>
      <c r="UYO35" s="707"/>
      <c r="UYP35" s="707"/>
      <c r="UYQ35" s="707"/>
      <c r="UYR35" s="707"/>
      <c r="UYS35" s="707"/>
      <c r="UYT35" s="707"/>
      <c r="UYU35" s="707"/>
      <c r="UYV35" s="707"/>
      <c r="UYW35" s="707"/>
      <c r="UYX35" s="707"/>
      <c r="UYY35" s="707"/>
      <c r="UYZ35" s="707"/>
      <c r="UZA35" s="707"/>
      <c r="UZB35" s="707"/>
      <c r="UZC35" s="707"/>
      <c r="UZD35" s="707"/>
      <c r="UZE35" s="707"/>
      <c r="UZF35" s="707"/>
      <c r="UZG35" s="707"/>
      <c r="UZH35" s="707"/>
      <c r="UZI35" s="707"/>
      <c r="UZJ35" s="707"/>
      <c r="UZK35" s="707"/>
      <c r="UZL35" s="707"/>
      <c r="UZM35" s="707"/>
      <c r="UZN35" s="707"/>
      <c r="UZO35" s="707"/>
      <c r="UZP35" s="707"/>
      <c r="UZQ35" s="707"/>
      <c r="UZR35" s="707"/>
      <c r="UZS35" s="707"/>
      <c r="UZT35" s="707"/>
      <c r="UZU35" s="707"/>
      <c r="UZV35" s="707"/>
      <c r="UZW35" s="707"/>
      <c r="UZX35" s="707"/>
      <c r="UZY35" s="707"/>
      <c r="UZZ35" s="707"/>
      <c r="VAA35" s="707"/>
      <c r="VAB35" s="707"/>
      <c r="VAC35" s="707"/>
      <c r="VAD35" s="707"/>
      <c r="VAE35" s="707"/>
      <c r="VAF35" s="707"/>
      <c r="VAG35" s="707"/>
      <c r="VAH35" s="707"/>
      <c r="VAI35" s="707"/>
      <c r="VAJ35" s="707"/>
      <c r="VAK35" s="707"/>
      <c r="VAL35" s="707"/>
      <c r="VAM35" s="707"/>
      <c r="VAN35" s="707"/>
      <c r="VAO35" s="707"/>
      <c r="VAP35" s="707"/>
      <c r="VAQ35" s="707"/>
      <c r="VAR35" s="707"/>
      <c r="VAS35" s="707"/>
      <c r="VAT35" s="707"/>
      <c r="VAU35" s="707"/>
      <c r="VAV35" s="707"/>
      <c r="VAW35" s="707"/>
      <c r="VAX35" s="707"/>
      <c r="VAY35" s="707"/>
      <c r="VAZ35" s="707"/>
      <c r="VBA35" s="707"/>
      <c r="VBB35" s="707"/>
      <c r="VBC35" s="707"/>
      <c r="VBD35" s="707"/>
      <c r="VBE35" s="707"/>
      <c r="VBF35" s="707"/>
      <c r="VBG35" s="707"/>
      <c r="VBH35" s="707"/>
      <c r="VBI35" s="707"/>
      <c r="VBJ35" s="707"/>
      <c r="VBK35" s="707"/>
      <c r="VBL35" s="707"/>
      <c r="VBM35" s="707"/>
      <c r="VBN35" s="707"/>
      <c r="VBO35" s="707"/>
      <c r="VBP35" s="707"/>
      <c r="VBQ35" s="707"/>
      <c r="VBR35" s="707"/>
      <c r="VBS35" s="707"/>
      <c r="VBT35" s="707"/>
      <c r="VBU35" s="707"/>
      <c r="VBV35" s="707"/>
      <c r="VBW35" s="707"/>
      <c r="VBX35" s="707"/>
      <c r="VBY35" s="707"/>
      <c r="VBZ35" s="707"/>
      <c r="VCA35" s="707"/>
      <c r="VCB35" s="707"/>
      <c r="VCC35" s="707"/>
      <c r="VCD35" s="707"/>
      <c r="VCE35" s="707"/>
      <c r="VCF35" s="707"/>
      <c r="VCG35" s="707"/>
      <c r="VCH35" s="707"/>
      <c r="VCI35" s="707"/>
      <c r="VCJ35" s="707"/>
      <c r="VCK35" s="707"/>
      <c r="VCL35" s="707"/>
      <c r="VCM35" s="707"/>
      <c r="VCN35" s="707"/>
      <c r="VCO35" s="707"/>
      <c r="VCP35" s="707"/>
      <c r="VCQ35" s="707"/>
      <c r="VCR35" s="707"/>
      <c r="VCS35" s="707"/>
      <c r="VCT35" s="707"/>
      <c r="VCU35" s="707"/>
      <c r="VCV35" s="707"/>
      <c r="VCW35" s="707"/>
      <c r="VCX35" s="707"/>
      <c r="VCY35" s="707"/>
      <c r="VCZ35" s="707"/>
      <c r="VDA35" s="707"/>
      <c r="VDB35" s="707"/>
      <c r="VDC35" s="707"/>
      <c r="VDD35" s="707"/>
      <c r="VDE35" s="707"/>
      <c r="VDF35" s="707"/>
      <c r="VDG35" s="707"/>
      <c r="VDH35" s="707"/>
      <c r="VDI35" s="707"/>
      <c r="VDJ35" s="707"/>
      <c r="VDK35" s="707"/>
      <c r="VDL35" s="707"/>
      <c r="VDM35" s="707"/>
      <c r="VDN35" s="707"/>
      <c r="VDO35" s="707"/>
      <c r="VDP35" s="707"/>
      <c r="VDQ35" s="707"/>
      <c r="VDR35" s="707"/>
      <c r="VDS35" s="707"/>
      <c r="VDT35" s="707"/>
      <c r="VDU35" s="707"/>
      <c r="VDV35" s="707"/>
      <c r="VDW35" s="707"/>
      <c r="VDX35" s="707"/>
      <c r="VDY35" s="707"/>
      <c r="VDZ35" s="707"/>
      <c r="VEA35" s="707"/>
      <c r="VEB35" s="707"/>
      <c r="VEC35" s="707"/>
      <c r="VED35" s="707"/>
      <c r="VEE35" s="707"/>
      <c r="VEF35" s="707"/>
      <c r="VEG35" s="707"/>
      <c r="VEH35" s="707"/>
      <c r="VEI35" s="707"/>
      <c r="VEJ35" s="707"/>
      <c r="VEK35" s="707"/>
      <c r="VEL35" s="707"/>
      <c r="VEM35" s="707"/>
      <c r="VEN35" s="707"/>
      <c r="VEO35" s="707"/>
      <c r="VEP35" s="707"/>
      <c r="VEQ35" s="707"/>
      <c r="VER35" s="707"/>
      <c r="VES35" s="707"/>
      <c r="VET35" s="707"/>
      <c r="VEU35" s="707"/>
      <c r="VEV35" s="707"/>
      <c r="VEW35" s="707"/>
      <c r="VEX35" s="707"/>
      <c r="VEY35" s="707"/>
      <c r="VEZ35" s="707"/>
      <c r="VFA35" s="707"/>
      <c r="VFB35" s="707"/>
      <c r="VFC35" s="707"/>
      <c r="VFD35" s="707"/>
      <c r="VFE35" s="707"/>
      <c r="VFF35" s="707"/>
      <c r="VFG35" s="707"/>
      <c r="VFH35" s="707"/>
      <c r="VFI35" s="707"/>
      <c r="VFJ35" s="707"/>
      <c r="VFK35" s="707"/>
      <c r="VFL35" s="707"/>
      <c r="VFM35" s="707"/>
      <c r="VFN35" s="707"/>
      <c r="VFO35" s="707"/>
      <c r="VFP35" s="707"/>
      <c r="VFQ35" s="707"/>
      <c r="VFR35" s="707"/>
      <c r="VFS35" s="707"/>
      <c r="VFT35" s="707"/>
      <c r="VFU35" s="707"/>
      <c r="VFV35" s="707"/>
      <c r="VFW35" s="707"/>
      <c r="VFX35" s="707"/>
      <c r="VFY35" s="707"/>
      <c r="VFZ35" s="707"/>
      <c r="VGA35" s="707"/>
      <c r="VGB35" s="707"/>
      <c r="VGC35" s="707"/>
      <c r="VGD35" s="707"/>
      <c r="VGE35" s="707"/>
      <c r="VGF35" s="707"/>
      <c r="VGG35" s="707"/>
      <c r="VGH35" s="707"/>
      <c r="VGI35" s="707"/>
      <c r="VGJ35" s="707"/>
      <c r="VGK35" s="707"/>
      <c r="VGL35" s="707"/>
      <c r="VGM35" s="707"/>
      <c r="VGN35" s="707"/>
      <c r="VGO35" s="707"/>
      <c r="VGP35" s="707"/>
      <c r="VGQ35" s="707"/>
      <c r="VGR35" s="707"/>
      <c r="VGS35" s="707"/>
      <c r="VGT35" s="707"/>
      <c r="VGU35" s="707"/>
      <c r="VGV35" s="707"/>
      <c r="VGW35" s="707"/>
      <c r="VGX35" s="707"/>
      <c r="VGY35" s="707"/>
      <c r="VGZ35" s="707"/>
      <c r="VHA35" s="707"/>
      <c r="VHB35" s="707"/>
      <c r="VHC35" s="707"/>
      <c r="VHD35" s="707"/>
      <c r="VHE35" s="707"/>
      <c r="VHF35" s="707"/>
      <c r="VHG35" s="707"/>
      <c r="VHH35" s="707"/>
      <c r="VHI35" s="707"/>
      <c r="VHJ35" s="707"/>
      <c r="VHK35" s="707"/>
      <c r="VHL35" s="707"/>
      <c r="VHM35" s="707"/>
      <c r="VHN35" s="707"/>
      <c r="VHO35" s="707"/>
      <c r="VHP35" s="707"/>
      <c r="VHQ35" s="707"/>
      <c r="VHR35" s="707"/>
      <c r="VHS35" s="707"/>
      <c r="VHT35" s="707"/>
      <c r="VHU35" s="707"/>
      <c r="VHV35" s="707"/>
      <c r="VHW35" s="707"/>
      <c r="VHX35" s="707"/>
      <c r="VHY35" s="707"/>
      <c r="VHZ35" s="707"/>
      <c r="VIA35" s="707"/>
      <c r="VIB35" s="707"/>
      <c r="VIC35" s="707"/>
      <c r="VID35" s="707"/>
      <c r="VIE35" s="707"/>
      <c r="VIF35" s="707"/>
      <c r="VIG35" s="707"/>
      <c r="VIH35" s="707"/>
      <c r="VII35" s="707"/>
      <c r="VIJ35" s="707"/>
      <c r="VIK35" s="707"/>
      <c r="VIL35" s="707"/>
      <c r="VIM35" s="707"/>
      <c r="VIN35" s="707"/>
      <c r="VIO35" s="707"/>
      <c r="VIP35" s="707"/>
      <c r="VIQ35" s="707"/>
      <c r="VIR35" s="707"/>
      <c r="VIS35" s="707"/>
      <c r="VIT35" s="707"/>
      <c r="VIU35" s="707"/>
      <c r="VIV35" s="707"/>
      <c r="VIW35" s="707"/>
      <c r="VIX35" s="707"/>
      <c r="VIY35" s="707"/>
      <c r="VIZ35" s="707"/>
      <c r="VJA35" s="707"/>
      <c r="VJB35" s="707"/>
      <c r="VJC35" s="707"/>
      <c r="VJD35" s="707"/>
      <c r="VJE35" s="707"/>
      <c r="VJF35" s="707"/>
      <c r="VJG35" s="707"/>
      <c r="VJH35" s="707"/>
      <c r="VJI35" s="707"/>
      <c r="VJJ35" s="707"/>
      <c r="VJK35" s="707"/>
      <c r="VJL35" s="707"/>
      <c r="VJM35" s="707"/>
      <c r="VJN35" s="707"/>
      <c r="VJO35" s="707"/>
      <c r="VJP35" s="707"/>
      <c r="VJQ35" s="707"/>
      <c r="VJR35" s="707"/>
      <c r="VJS35" s="707"/>
      <c r="VJT35" s="707"/>
      <c r="VJU35" s="707"/>
      <c r="VJV35" s="707"/>
      <c r="VJW35" s="707"/>
      <c r="VJX35" s="707"/>
      <c r="VJY35" s="707"/>
      <c r="VJZ35" s="707"/>
      <c r="VKA35" s="707"/>
      <c r="VKB35" s="707"/>
      <c r="VKC35" s="707"/>
      <c r="VKD35" s="707"/>
      <c r="VKE35" s="707"/>
      <c r="VKF35" s="707"/>
      <c r="VKG35" s="707"/>
      <c r="VKH35" s="707"/>
      <c r="VKI35" s="707"/>
      <c r="VKJ35" s="707"/>
      <c r="VKK35" s="707"/>
      <c r="VKL35" s="707"/>
      <c r="VKM35" s="707"/>
      <c r="VKN35" s="707"/>
      <c r="VKO35" s="707"/>
      <c r="VKP35" s="707"/>
      <c r="VKQ35" s="707"/>
      <c r="VKR35" s="707"/>
      <c r="VKS35" s="707"/>
      <c r="VKT35" s="707"/>
      <c r="VKU35" s="707"/>
      <c r="VKV35" s="707"/>
      <c r="VKW35" s="707"/>
      <c r="VKX35" s="707"/>
      <c r="VKY35" s="707"/>
      <c r="VKZ35" s="707"/>
      <c r="VLA35" s="707"/>
      <c r="VLB35" s="707"/>
      <c r="VLC35" s="707"/>
      <c r="VLD35" s="707"/>
      <c r="VLE35" s="707"/>
      <c r="VLF35" s="707"/>
      <c r="VLG35" s="707"/>
      <c r="VLH35" s="707"/>
      <c r="VLI35" s="707"/>
      <c r="VLJ35" s="707"/>
      <c r="VLK35" s="707"/>
      <c r="VLL35" s="707"/>
      <c r="VLM35" s="707"/>
      <c r="VLN35" s="707"/>
      <c r="VLO35" s="707"/>
      <c r="VLP35" s="707"/>
      <c r="VLQ35" s="707"/>
      <c r="VLR35" s="707"/>
      <c r="VLS35" s="707"/>
      <c r="VLT35" s="707"/>
      <c r="VLU35" s="707"/>
      <c r="VLV35" s="707"/>
      <c r="VLW35" s="707"/>
      <c r="VLX35" s="707"/>
      <c r="VLY35" s="707"/>
      <c r="VLZ35" s="707"/>
      <c r="VMA35" s="707"/>
      <c r="VMB35" s="707"/>
      <c r="VMC35" s="707"/>
      <c r="VMD35" s="707"/>
      <c r="VME35" s="707"/>
      <c r="VMF35" s="707"/>
      <c r="VMG35" s="707"/>
      <c r="VMH35" s="707"/>
      <c r="VMI35" s="707"/>
      <c r="VMJ35" s="707"/>
      <c r="VMK35" s="707"/>
      <c r="VML35" s="707"/>
      <c r="VMM35" s="707"/>
      <c r="VMN35" s="707"/>
      <c r="VMO35" s="707"/>
      <c r="VMP35" s="707"/>
      <c r="VMQ35" s="707"/>
      <c r="VMR35" s="707"/>
      <c r="VMS35" s="707"/>
      <c r="VMT35" s="707"/>
      <c r="VMU35" s="707"/>
      <c r="VMV35" s="707"/>
      <c r="VMW35" s="707"/>
      <c r="VMX35" s="707"/>
      <c r="VMY35" s="707"/>
      <c r="VMZ35" s="707"/>
      <c r="VNA35" s="707"/>
      <c r="VNB35" s="707"/>
      <c r="VNC35" s="707"/>
      <c r="VND35" s="707"/>
      <c r="VNE35" s="707"/>
      <c r="VNF35" s="707"/>
      <c r="VNG35" s="707"/>
      <c r="VNH35" s="707"/>
      <c r="VNI35" s="707"/>
      <c r="VNJ35" s="707"/>
      <c r="VNK35" s="707"/>
      <c r="VNL35" s="707"/>
      <c r="VNM35" s="707"/>
      <c r="VNN35" s="707"/>
      <c r="VNO35" s="707"/>
      <c r="VNP35" s="707"/>
      <c r="VNQ35" s="707"/>
      <c r="VNR35" s="707"/>
      <c r="VNS35" s="707"/>
      <c r="VNT35" s="707"/>
      <c r="VNU35" s="707"/>
      <c r="VNV35" s="707"/>
      <c r="VNW35" s="707"/>
      <c r="VNX35" s="707"/>
      <c r="VNY35" s="707"/>
      <c r="VNZ35" s="707"/>
      <c r="VOA35" s="707"/>
      <c r="VOB35" s="707"/>
      <c r="VOC35" s="707"/>
      <c r="VOD35" s="707"/>
      <c r="VOE35" s="707"/>
      <c r="VOF35" s="707"/>
      <c r="VOG35" s="707"/>
      <c r="VOH35" s="707"/>
      <c r="VOI35" s="707"/>
      <c r="VOJ35" s="707"/>
      <c r="VOK35" s="707"/>
      <c r="VOL35" s="707"/>
      <c r="VOM35" s="707"/>
      <c r="VON35" s="707"/>
      <c r="VOO35" s="707"/>
      <c r="VOP35" s="707"/>
      <c r="VOQ35" s="707"/>
      <c r="VOR35" s="707"/>
      <c r="VOS35" s="707"/>
      <c r="VOT35" s="707"/>
      <c r="VOU35" s="707"/>
      <c r="VOV35" s="707"/>
      <c r="VOW35" s="707"/>
      <c r="VOX35" s="707"/>
      <c r="VOY35" s="707"/>
      <c r="VOZ35" s="707"/>
      <c r="VPA35" s="707"/>
      <c r="VPB35" s="707"/>
      <c r="VPC35" s="707"/>
      <c r="VPD35" s="707"/>
      <c r="VPE35" s="707"/>
      <c r="VPF35" s="707"/>
      <c r="VPG35" s="707"/>
      <c r="VPH35" s="707"/>
      <c r="VPI35" s="707"/>
      <c r="VPJ35" s="707"/>
      <c r="VPK35" s="707"/>
      <c r="VPL35" s="707"/>
      <c r="VPM35" s="707"/>
      <c r="VPN35" s="707"/>
      <c r="VPO35" s="707"/>
      <c r="VPP35" s="707"/>
      <c r="VPQ35" s="707"/>
      <c r="VPR35" s="707"/>
      <c r="VPS35" s="707"/>
      <c r="VPT35" s="707"/>
      <c r="VPU35" s="707"/>
      <c r="VPV35" s="707"/>
      <c r="VPW35" s="707"/>
      <c r="VPX35" s="707"/>
      <c r="VPY35" s="707"/>
      <c r="VPZ35" s="707"/>
      <c r="VQA35" s="707"/>
      <c r="VQB35" s="707"/>
      <c r="VQC35" s="707"/>
      <c r="VQD35" s="707"/>
      <c r="VQE35" s="707"/>
      <c r="VQF35" s="707"/>
      <c r="VQG35" s="707"/>
      <c r="VQH35" s="707"/>
      <c r="VQI35" s="707"/>
      <c r="VQJ35" s="707"/>
      <c r="VQK35" s="707"/>
      <c r="VQL35" s="707"/>
      <c r="VQM35" s="707"/>
      <c r="VQN35" s="707"/>
      <c r="VQO35" s="707"/>
      <c r="VQP35" s="707"/>
      <c r="VQQ35" s="707"/>
      <c r="VQR35" s="707"/>
      <c r="VQS35" s="707"/>
      <c r="VQT35" s="707"/>
      <c r="VQU35" s="707"/>
      <c r="VQV35" s="707"/>
      <c r="VQW35" s="707"/>
      <c r="VQX35" s="707"/>
      <c r="VQY35" s="707"/>
      <c r="VQZ35" s="707"/>
      <c r="VRA35" s="707"/>
      <c r="VRB35" s="707"/>
      <c r="VRC35" s="707"/>
      <c r="VRD35" s="707"/>
      <c r="VRE35" s="707"/>
      <c r="VRF35" s="707"/>
      <c r="VRG35" s="707"/>
      <c r="VRH35" s="707"/>
      <c r="VRI35" s="707"/>
      <c r="VRJ35" s="707"/>
      <c r="VRK35" s="707"/>
      <c r="VRL35" s="707"/>
      <c r="VRM35" s="707"/>
      <c r="VRN35" s="707"/>
      <c r="VRO35" s="707"/>
      <c r="VRP35" s="707"/>
      <c r="VRQ35" s="707"/>
      <c r="VRR35" s="707"/>
      <c r="VRS35" s="707"/>
      <c r="VRT35" s="707"/>
      <c r="VRU35" s="707"/>
      <c r="VRV35" s="707"/>
      <c r="VRW35" s="707"/>
      <c r="VRX35" s="707"/>
      <c r="VRY35" s="707"/>
      <c r="VRZ35" s="707"/>
      <c r="VSA35" s="707"/>
      <c r="VSB35" s="707"/>
      <c r="VSC35" s="707"/>
      <c r="VSD35" s="707"/>
      <c r="VSE35" s="707"/>
      <c r="VSF35" s="707"/>
      <c r="VSG35" s="707"/>
      <c r="VSH35" s="707"/>
      <c r="VSI35" s="707"/>
      <c r="VSJ35" s="707"/>
      <c r="VSK35" s="707"/>
      <c r="VSL35" s="707"/>
      <c r="VSM35" s="707"/>
      <c r="VSN35" s="707"/>
      <c r="VSO35" s="707"/>
      <c r="VSP35" s="707"/>
      <c r="VSQ35" s="707"/>
      <c r="VSR35" s="707"/>
      <c r="VSS35" s="707"/>
      <c r="VST35" s="707"/>
      <c r="VSU35" s="707"/>
      <c r="VSV35" s="707"/>
      <c r="VSW35" s="707"/>
      <c r="VSX35" s="707"/>
      <c r="VSY35" s="707"/>
      <c r="VSZ35" s="707"/>
      <c r="VTA35" s="707"/>
      <c r="VTB35" s="707"/>
      <c r="VTC35" s="707"/>
      <c r="VTD35" s="707"/>
      <c r="VTE35" s="707"/>
      <c r="VTF35" s="707"/>
      <c r="VTG35" s="707"/>
      <c r="VTH35" s="707"/>
      <c r="VTI35" s="707"/>
      <c r="VTJ35" s="707"/>
      <c r="VTK35" s="707"/>
      <c r="VTL35" s="707"/>
      <c r="VTM35" s="707"/>
      <c r="VTN35" s="707"/>
      <c r="VTO35" s="707"/>
      <c r="VTP35" s="707"/>
      <c r="VTQ35" s="707"/>
      <c r="VTR35" s="707"/>
      <c r="VTS35" s="707"/>
      <c r="VTT35" s="707"/>
      <c r="VTU35" s="707"/>
      <c r="VTV35" s="707"/>
      <c r="VTW35" s="707"/>
      <c r="VTX35" s="707"/>
      <c r="VTY35" s="707"/>
      <c r="VTZ35" s="707"/>
      <c r="VUA35" s="707"/>
      <c r="VUB35" s="707"/>
      <c r="VUC35" s="707"/>
      <c r="VUD35" s="707"/>
      <c r="VUE35" s="707"/>
      <c r="VUF35" s="707"/>
      <c r="VUG35" s="707"/>
      <c r="VUH35" s="707"/>
      <c r="VUI35" s="707"/>
      <c r="VUJ35" s="707"/>
      <c r="VUK35" s="707"/>
      <c r="VUL35" s="707"/>
      <c r="VUM35" s="707"/>
      <c r="VUN35" s="707"/>
      <c r="VUO35" s="707"/>
      <c r="VUP35" s="707"/>
      <c r="VUQ35" s="707"/>
      <c r="VUR35" s="707"/>
      <c r="VUS35" s="707"/>
      <c r="VUT35" s="707"/>
      <c r="VUU35" s="707"/>
      <c r="VUV35" s="707"/>
      <c r="VUW35" s="707"/>
      <c r="VUX35" s="707"/>
      <c r="VUY35" s="707"/>
      <c r="VUZ35" s="707"/>
      <c r="VVA35" s="707"/>
      <c r="VVB35" s="707"/>
      <c r="VVC35" s="707"/>
      <c r="VVD35" s="707"/>
      <c r="VVE35" s="707"/>
      <c r="VVF35" s="707"/>
      <c r="VVG35" s="707"/>
      <c r="VVH35" s="707"/>
      <c r="VVI35" s="707"/>
      <c r="VVJ35" s="707"/>
      <c r="VVK35" s="707"/>
      <c r="VVL35" s="707"/>
      <c r="VVM35" s="707"/>
      <c r="VVN35" s="707"/>
      <c r="VVO35" s="707"/>
      <c r="VVP35" s="707"/>
      <c r="VVQ35" s="707"/>
      <c r="VVR35" s="707"/>
      <c r="VVS35" s="707"/>
      <c r="VVT35" s="707"/>
      <c r="VVU35" s="707"/>
      <c r="VVV35" s="707"/>
      <c r="VVW35" s="707"/>
      <c r="VVX35" s="707"/>
      <c r="VVY35" s="707"/>
      <c r="VVZ35" s="707"/>
      <c r="VWA35" s="707"/>
      <c r="VWB35" s="707"/>
      <c r="VWC35" s="707"/>
      <c r="VWD35" s="707"/>
      <c r="VWE35" s="707"/>
      <c r="VWF35" s="707"/>
      <c r="VWG35" s="707"/>
      <c r="VWH35" s="707"/>
      <c r="VWI35" s="707"/>
      <c r="VWJ35" s="707"/>
      <c r="VWK35" s="707"/>
      <c r="VWL35" s="707"/>
      <c r="VWM35" s="707"/>
      <c r="VWN35" s="707"/>
      <c r="VWO35" s="707"/>
      <c r="VWP35" s="707"/>
      <c r="VWQ35" s="707"/>
      <c r="VWR35" s="707"/>
      <c r="VWS35" s="707"/>
      <c r="VWT35" s="707"/>
      <c r="VWU35" s="707"/>
      <c r="VWV35" s="707"/>
      <c r="VWW35" s="707"/>
      <c r="VWX35" s="707"/>
      <c r="VWY35" s="707"/>
      <c r="VWZ35" s="707"/>
      <c r="VXA35" s="707"/>
      <c r="VXB35" s="707"/>
      <c r="VXC35" s="707"/>
      <c r="VXD35" s="707"/>
      <c r="VXE35" s="707"/>
      <c r="VXF35" s="707"/>
      <c r="VXG35" s="707"/>
      <c r="VXH35" s="707"/>
      <c r="VXI35" s="707"/>
      <c r="VXJ35" s="707"/>
      <c r="VXK35" s="707"/>
      <c r="VXL35" s="707"/>
      <c r="VXM35" s="707"/>
      <c r="VXN35" s="707"/>
      <c r="VXO35" s="707"/>
      <c r="VXP35" s="707"/>
      <c r="VXQ35" s="707"/>
      <c r="VXR35" s="707"/>
      <c r="VXS35" s="707"/>
      <c r="VXT35" s="707"/>
      <c r="VXU35" s="707"/>
      <c r="VXV35" s="707"/>
      <c r="VXW35" s="707"/>
      <c r="VXX35" s="707"/>
      <c r="VXY35" s="707"/>
      <c r="VXZ35" s="707"/>
      <c r="VYA35" s="707"/>
      <c r="VYB35" s="707"/>
      <c r="VYC35" s="707"/>
      <c r="VYD35" s="707"/>
      <c r="VYE35" s="707"/>
      <c r="VYF35" s="707"/>
      <c r="VYG35" s="707"/>
      <c r="VYH35" s="707"/>
      <c r="VYI35" s="707"/>
      <c r="VYJ35" s="707"/>
      <c r="VYK35" s="707"/>
      <c r="VYL35" s="707"/>
      <c r="VYM35" s="707"/>
      <c r="VYN35" s="707"/>
      <c r="VYO35" s="707"/>
      <c r="VYP35" s="707"/>
      <c r="VYQ35" s="707"/>
      <c r="VYR35" s="707"/>
      <c r="VYS35" s="707"/>
      <c r="VYT35" s="707"/>
      <c r="VYU35" s="707"/>
      <c r="VYV35" s="707"/>
      <c r="VYW35" s="707"/>
      <c r="VYX35" s="707"/>
      <c r="VYY35" s="707"/>
      <c r="VYZ35" s="707"/>
      <c r="VZA35" s="707"/>
      <c r="VZB35" s="707"/>
      <c r="VZC35" s="707"/>
      <c r="VZD35" s="707"/>
      <c r="VZE35" s="707"/>
      <c r="VZF35" s="707"/>
      <c r="VZG35" s="707"/>
      <c r="VZH35" s="707"/>
      <c r="VZI35" s="707"/>
      <c r="VZJ35" s="707"/>
      <c r="VZK35" s="707"/>
      <c r="VZL35" s="707"/>
      <c r="VZM35" s="707"/>
      <c r="VZN35" s="707"/>
      <c r="VZO35" s="707"/>
      <c r="VZP35" s="707"/>
      <c r="VZQ35" s="707"/>
      <c r="VZR35" s="707"/>
      <c r="VZS35" s="707"/>
      <c r="VZT35" s="707"/>
      <c r="VZU35" s="707"/>
      <c r="VZV35" s="707"/>
      <c r="VZW35" s="707"/>
      <c r="VZX35" s="707"/>
      <c r="VZY35" s="707"/>
      <c r="VZZ35" s="707"/>
      <c r="WAA35" s="707"/>
      <c r="WAB35" s="707"/>
      <c r="WAC35" s="707"/>
      <c r="WAD35" s="707"/>
      <c r="WAE35" s="707"/>
      <c r="WAF35" s="707"/>
      <c r="WAG35" s="707"/>
      <c r="WAH35" s="707"/>
      <c r="WAI35" s="707"/>
      <c r="WAJ35" s="707"/>
      <c r="WAK35" s="707"/>
      <c r="WAL35" s="707"/>
      <c r="WAM35" s="707"/>
      <c r="WAN35" s="707"/>
      <c r="WAO35" s="707"/>
      <c r="WAP35" s="707"/>
      <c r="WAQ35" s="707"/>
      <c r="WAR35" s="707"/>
      <c r="WAS35" s="707"/>
      <c r="WAT35" s="707"/>
      <c r="WAU35" s="707"/>
      <c r="WAV35" s="707"/>
      <c r="WAW35" s="707"/>
      <c r="WAX35" s="707"/>
      <c r="WAY35" s="707"/>
      <c r="WAZ35" s="707"/>
      <c r="WBA35" s="707"/>
      <c r="WBB35" s="707"/>
      <c r="WBC35" s="707"/>
      <c r="WBD35" s="707"/>
      <c r="WBE35" s="707"/>
      <c r="WBF35" s="707"/>
      <c r="WBG35" s="707"/>
      <c r="WBH35" s="707"/>
      <c r="WBI35" s="707"/>
      <c r="WBJ35" s="707"/>
      <c r="WBK35" s="707"/>
      <c r="WBL35" s="707"/>
      <c r="WBM35" s="707"/>
      <c r="WBN35" s="707"/>
      <c r="WBO35" s="707"/>
      <c r="WBP35" s="707"/>
      <c r="WBQ35" s="707"/>
      <c r="WBR35" s="707"/>
      <c r="WBS35" s="707"/>
      <c r="WBT35" s="707"/>
      <c r="WBU35" s="707"/>
      <c r="WBV35" s="707"/>
      <c r="WBW35" s="707"/>
      <c r="WBX35" s="707"/>
      <c r="WBY35" s="707"/>
      <c r="WBZ35" s="707"/>
      <c r="WCA35" s="707"/>
      <c r="WCB35" s="707"/>
      <c r="WCC35" s="707"/>
      <c r="WCD35" s="707"/>
      <c r="WCE35" s="707"/>
      <c r="WCF35" s="707"/>
      <c r="WCG35" s="707"/>
      <c r="WCH35" s="707"/>
      <c r="WCI35" s="707"/>
      <c r="WCJ35" s="707"/>
      <c r="WCK35" s="707"/>
      <c r="WCL35" s="707"/>
      <c r="WCM35" s="707"/>
      <c r="WCN35" s="707"/>
      <c r="WCO35" s="707"/>
      <c r="WCP35" s="707"/>
      <c r="WCQ35" s="707"/>
      <c r="WCR35" s="707"/>
      <c r="WCS35" s="707"/>
      <c r="WCT35" s="707"/>
      <c r="WCU35" s="707"/>
      <c r="WCV35" s="707"/>
      <c r="WCW35" s="707"/>
      <c r="WCX35" s="707"/>
      <c r="WCY35" s="707"/>
      <c r="WCZ35" s="707"/>
      <c r="WDA35" s="707"/>
      <c r="WDB35" s="707"/>
      <c r="WDC35" s="707"/>
      <c r="WDD35" s="707"/>
      <c r="WDE35" s="707"/>
      <c r="WDF35" s="707"/>
      <c r="WDG35" s="707"/>
      <c r="WDH35" s="707"/>
      <c r="WDI35" s="707"/>
      <c r="WDJ35" s="707"/>
      <c r="WDK35" s="707"/>
      <c r="WDL35" s="707"/>
      <c r="WDM35" s="707"/>
      <c r="WDN35" s="707"/>
      <c r="WDO35" s="707"/>
      <c r="WDP35" s="707"/>
      <c r="WDQ35" s="707"/>
      <c r="WDR35" s="707"/>
      <c r="WDS35" s="707"/>
      <c r="WDT35" s="707"/>
      <c r="WDU35" s="707"/>
      <c r="WDV35" s="707"/>
      <c r="WDW35" s="707"/>
      <c r="WDX35" s="707"/>
      <c r="WDY35" s="707"/>
      <c r="WDZ35" s="707"/>
      <c r="WEA35" s="707"/>
      <c r="WEB35" s="707"/>
      <c r="WEC35" s="707"/>
      <c r="WED35" s="707"/>
      <c r="WEE35" s="707"/>
      <c r="WEF35" s="707"/>
      <c r="WEG35" s="707"/>
      <c r="WEH35" s="707"/>
      <c r="WEI35" s="707"/>
      <c r="WEJ35" s="707"/>
      <c r="WEK35" s="707"/>
      <c r="WEL35" s="707"/>
      <c r="WEM35" s="707"/>
      <c r="WEN35" s="707"/>
      <c r="WEO35" s="707"/>
      <c r="WEP35" s="707"/>
      <c r="WEQ35" s="707"/>
      <c r="WER35" s="707"/>
      <c r="WES35" s="707"/>
      <c r="WET35" s="707"/>
      <c r="WEU35" s="707"/>
      <c r="WEV35" s="707"/>
      <c r="WEW35" s="707"/>
      <c r="WEX35" s="707"/>
      <c r="WEY35" s="707"/>
      <c r="WEZ35" s="707"/>
      <c r="WFA35" s="707"/>
      <c r="WFB35" s="707"/>
      <c r="WFC35" s="707"/>
      <c r="WFD35" s="707"/>
      <c r="WFE35" s="707"/>
      <c r="WFF35" s="707"/>
      <c r="WFG35" s="707"/>
      <c r="WFH35" s="707"/>
      <c r="WFI35" s="707"/>
      <c r="WFJ35" s="707"/>
      <c r="WFK35" s="707"/>
      <c r="WFL35" s="707"/>
      <c r="WFM35" s="707"/>
      <c r="WFN35" s="707"/>
      <c r="WFO35" s="707"/>
      <c r="WFP35" s="707"/>
      <c r="WFQ35" s="707"/>
      <c r="WFR35" s="707"/>
      <c r="WFS35" s="707"/>
      <c r="WFT35" s="707"/>
      <c r="WFU35" s="707"/>
      <c r="WFV35" s="707"/>
      <c r="WFW35" s="707"/>
      <c r="WFX35" s="707"/>
      <c r="WFY35" s="707"/>
      <c r="WFZ35" s="707"/>
      <c r="WGA35" s="707"/>
      <c r="WGB35" s="707"/>
      <c r="WGC35" s="707"/>
      <c r="WGD35" s="707"/>
      <c r="WGE35" s="707"/>
      <c r="WGF35" s="707"/>
      <c r="WGG35" s="707"/>
      <c r="WGH35" s="707"/>
      <c r="WGI35" s="707"/>
      <c r="WGJ35" s="707"/>
      <c r="WGK35" s="707"/>
      <c r="WGL35" s="707"/>
      <c r="WGM35" s="707"/>
      <c r="WGN35" s="707"/>
      <c r="WGO35" s="707"/>
      <c r="WGP35" s="707"/>
      <c r="WGQ35" s="707"/>
      <c r="WGR35" s="707"/>
      <c r="WGS35" s="707"/>
      <c r="WGT35" s="707"/>
      <c r="WGU35" s="707"/>
      <c r="WGV35" s="707"/>
      <c r="WGW35" s="707"/>
      <c r="WGX35" s="707"/>
      <c r="WGY35" s="707"/>
      <c r="WGZ35" s="707"/>
      <c r="WHA35" s="707"/>
      <c r="WHB35" s="707"/>
      <c r="WHC35" s="707"/>
      <c r="WHD35" s="707"/>
      <c r="WHE35" s="707"/>
      <c r="WHF35" s="707"/>
      <c r="WHG35" s="707"/>
      <c r="WHH35" s="707"/>
      <c r="WHI35" s="707"/>
      <c r="WHJ35" s="707"/>
      <c r="WHK35" s="707"/>
      <c r="WHL35" s="707"/>
      <c r="WHM35" s="707"/>
      <c r="WHN35" s="707"/>
      <c r="WHO35" s="707"/>
      <c r="WHP35" s="707"/>
      <c r="WHQ35" s="707"/>
      <c r="WHR35" s="707"/>
      <c r="WHS35" s="707"/>
      <c r="WHT35" s="707"/>
      <c r="WHU35" s="707"/>
      <c r="WHV35" s="707"/>
      <c r="WHW35" s="707"/>
      <c r="WHX35" s="707"/>
      <c r="WHY35" s="707"/>
      <c r="WHZ35" s="707"/>
      <c r="WIA35" s="707"/>
      <c r="WIB35" s="707"/>
      <c r="WIC35" s="707"/>
      <c r="WID35" s="707"/>
      <c r="WIE35" s="707"/>
      <c r="WIF35" s="707"/>
      <c r="WIG35" s="707"/>
      <c r="WIH35" s="707"/>
      <c r="WII35" s="707"/>
      <c r="WIJ35" s="707"/>
      <c r="WIK35" s="707"/>
      <c r="WIL35" s="707"/>
      <c r="WIM35" s="707"/>
      <c r="WIN35" s="707"/>
      <c r="WIO35" s="707"/>
      <c r="WIP35" s="707"/>
      <c r="WIQ35" s="707"/>
      <c r="WIR35" s="707"/>
      <c r="WIS35" s="707"/>
      <c r="WIT35" s="707"/>
      <c r="WIU35" s="707"/>
      <c r="WIV35" s="707"/>
      <c r="WIW35" s="707"/>
      <c r="WIX35" s="707"/>
      <c r="WIY35" s="707"/>
      <c r="WIZ35" s="707"/>
      <c r="WJA35" s="707"/>
      <c r="WJB35" s="707"/>
      <c r="WJC35" s="707"/>
      <c r="WJD35" s="707"/>
      <c r="WJE35" s="707"/>
      <c r="WJF35" s="707"/>
      <c r="WJG35" s="707"/>
      <c r="WJH35" s="707"/>
      <c r="WJI35" s="707"/>
      <c r="WJJ35" s="707"/>
      <c r="WJK35" s="707"/>
      <c r="WJL35" s="707"/>
      <c r="WJM35" s="707"/>
      <c r="WJN35" s="707"/>
      <c r="WJO35" s="707"/>
      <c r="WJP35" s="707"/>
      <c r="WJQ35" s="707"/>
      <c r="WJR35" s="707"/>
      <c r="WJS35" s="707"/>
      <c r="WJT35" s="707"/>
      <c r="WJU35" s="707"/>
      <c r="WJV35" s="707"/>
      <c r="WJW35" s="707"/>
      <c r="WJX35" s="707"/>
      <c r="WJY35" s="707"/>
      <c r="WJZ35" s="707"/>
      <c r="WKA35" s="707"/>
      <c r="WKB35" s="707"/>
      <c r="WKC35" s="707"/>
      <c r="WKD35" s="707"/>
      <c r="WKE35" s="707"/>
      <c r="WKF35" s="707"/>
      <c r="WKG35" s="707"/>
      <c r="WKH35" s="707"/>
      <c r="WKI35" s="707"/>
      <c r="WKJ35" s="707"/>
      <c r="WKK35" s="707"/>
      <c r="WKL35" s="707"/>
      <c r="WKM35" s="707"/>
      <c r="WKN35" s="707"/>
      <c r="WKO35" s="707"/>
      <c r="WKP35" s="707"/>
      <c r="WKQ35" s="707"/>
      <c r="WKR35" s="707"/>
      <c r="WKS35" s="707"/>
      <c r="WKT35" s="707"/>
      <c r="WKU35" s="707"/>
      <c r="WKV35" s="707"/>
      <c r="WKW35" s="707"/>
      <c r="WKX35" s="707"/>
      <c r="WKY35" s="707"/>
      <c r="WKZ35" s="707"/>
      <c r="WLA35" s="707"/>
      <c r="WLB35" s="707"/>
      <c r="WLC35" s="707"/>
      <c r="WLD35" s="707"/>
      <c r="WLE35" s="707"/>
      <c r="WLF35" s="707"/>
      <c r="WLG35" s="707"/>
      <c r="WLH35" s="707"/>
      <c r="WLI35" s="707"/>
      <c r="WLJ35" s="707"/>
      <c r="WLK35" s="707"/>
      <c r="WLL35" s="707"/>
      <c r="WLM35" s="707"/>
      <c r="WLN35" s="707"/>
      <c r="WLO35" s="707"/>
      <c r="WLP35" s="707"/>
      <c r="WLQ35" s="707"/>
      <c r="WLR35" s="707"/>
      <c r="WLS35" s="707"/>
      <c r="WLT35" s="707"/>
      <c r="WLU35" s="707"/>
      <c r="WLV35" s="707"/>
      <c r="WLW35" s="707"/>
      <c r="WLX35" s="707"/>
      <c r="WLY35" s="707"/>
      <c r="WLZ35" s="707"/>
      <c r="WMA35" s="707"/>
      <c r="WMB35" s="707"/>
      <c r="WMC35" s="707"/>
      <c r="WMD35" s="707"/>
      <c r="WME35" s="707"/>
      <c r="WMF35" s="707"/>
      <c r="WMG35" s="707"/>
      <c r="WMH35" s="707"/>
      <c r="WMI35" s="707"/>
      <c r="WMJ35" s="707"/>
      <c r="WMK35" s="707"/>
      <c r="WML35" s="707"/>
      <c r="WMM35" s="707"/>
      <c r="WMN35" s="707"/>
      <c r="WMO35" s="707"/>
      <c r="WMP35" s="707"/>
      <c r="WMQ35" s="707"/>
      <c r="WMR35" s="707"/>
      <c r="WMS35" s="707"/>
      <c r="WMT35" s="707"/>
      <c r="WMU35" s="707"/>
      <c r="WMV35" s="707"/>
      <c r="WMW35" s="707"/>
      <c r="WMX35" s="707"/>
      <c r="WMY35" s="707"/>
      <c r="WMZ35" s="707"/>
      <c r="WNA35" s="707"/>
      <c r="WNB35" s="707"/>
      <c r="WNC35" s="707"/>
      <c r="WND35" s="707"/>
      <c r="WNE35" s="707"/>
      <c r="WNF35" s="707"/>
      <c r="WNG35" s="707"/>
      <c r="WNH35" s="707"/>
      <c r="WNI35" s="707"/>
      <c r="WNJ35" s="707"/>
      <c r="WNK35" s="707"/>
      <c r="WNL35" s="707"/>
      <c r="WNM35" s="707"/>
      <c r="WNN35" s="707"/>
      <c r="WNO35" s="707"/>
      <c r="WNP35" s="707"/>
      <c r="WNQ35" s="707"/>
      <c r="WNR35" s="707"/>
      <c r="WNS35" s="707"/>
      <c r="WNT35" s="707"/>
      <c r="WNU35" s="707"/>
      <c r="WNV35" s="707"/>
      <c r="WNW35" s="707"/>
      <c r="WNX35" s="707"/>
      <c r="WNY35" s="707"/>
      <c r="WNZ35" s="707"/>
      <c r="WOA35" s="707"/>
      <c r="WOB35" s="707"/>
      <c r="WOC35" s="707"/>
      <c r="WOD35" s="707"/>
      <c r="WOE35" s="707"/>
      <c r="WOF35" s="707"/>
      <c r="WOG35" s="707"/>
      <c r="WOH35" s="707"/>
      <c r="WOI35" s="707"/>
      <c r="WOJ35" s="707"/>
      <c r="WOK35" s="707"/>
      <c r="WOL35" s="707"/>
      <c r="WOM35" s="707"/>
      <c r="WON35" s="707"/>
      <c r="WOO35" s="707"/>
      <c r="WOP35" s="707"/>
      <c r="WOQ35" s="707"/>
      <c r="WOR35" s="707"/>
      <c r="WOS35" s="707"/>
      <c r="WOT35" s="707"/>
      <c r="WOU35" s="707"/>
      <c r="WOV35" s="707"/>
      <c r="WOW35" s="707"/>
      <c r="WOX35" s="707"/>
      <c r="WOY35" s="707"/>
      <c r="WOZ35" s="707"/>
      <c r="WPA35" s="707"/>
      <c r="WPB35" s="707"/>
      <c r="WPC35" s="707"/>
      <c r="WPD35" s="707"/>
      <c r="WPE35" s="707"/>
      <c r="WPF35" s="707"/>
      <c r="WPG35" s="707"/>
      <c r="WPH35" s="707"/>
      <c r="WPI35" s="707"/>
      <c r="WPJ35" s="707"/>
      <c r="WPK35" s="707"/>
      <c r="WPL35" s="707"/>
      <c r="WPM35" s="707"/>
      <c r="WPN35" s="707"/>
      <c r="WPO35" s="707"/>
      <c r="WPP35" s="707"/>
      <c r="WPQ35" s="707"/>
      <c r="WPR35" s="707"/>
      <c r="WPS35" s="707"/>
      <c r="WPT35" s="707"/>
      <c r="WPU35" s="707"/>
      <c r="WPV35" s="707"/>
      <c r="WPW35" s="707"/>
      <c r="WPX35" s="707"/>
      <c r="WPY35" s="707"/>
      <c r="WPZ35" s="707"/>
      <c r="WQA35" s="707"/>
      <c r="WQB35" s="707"/>
      <c r="WQC35" s="707"/>
      <c r="WQD35" s="707"/>
      <c r="WQE35" s="707"/>
      <c r="WQF35" s="707"/>
      <c r="WQG35" s="707"/>
      <c r="WQH35" s="707"/>
      <c r="WQI35" s="707"/>
      <c r="WQJ35" s="707"/>
      <c r="WQK35" s="707"/>
      <c r="WQL35" s="707"/>
      <c r="WQM35" s="707"/>
      <c r="WQN35" s="707"/>
      <c r="WQO35" s="707"/>
      <c r="WQP35" s="707"/>
      <c r="WQQ35" s="707"/>
      <c r="WQR35" s="707"/>
      <c r="WQS35" s="707"/>
      <c r="WQT35" s="707"/>
      <c r="WQU35" s="707"/>
      <c r="WQV35" s="707"/>
      <c r="WQW35" s="707"/>
      <c r="WQX35" s="707"/>
      <c r="WQY35" s="707"/>
      <c r="WQZ35" s="707"/>
      <c r="WRA35" s="707"/>
      <c r="WRB35" s="707"/>
      <c r="WRC35" s="707"/>
      <c r="WRD35" s="707"/>
      <c r="WRE35" s="707"/>
      <c r="WRF35" s="707"/>
      <c r="WRG35" s="707"/>
      <c r="WRH35" s="707"/>
      <c r="WRI35" s="707"/>
      <c r="WRJ35" s="707"/>
      <c r="WRK35" s="707"/>
      <c r="WRL35" s="707"/>
      <c r="WRM35" s="707"/>
      <c r="WRN35" s="707"/>
      <c r="WRO35" s="707"/>
      <c r="WRP35" s="707"/>
      <c r="WRQ35" s="707"/>
      <c r="WRR35" s="707"/>
      <c r="WRS35" s="707"/>
      <c r="WRT35" s="707"/>
      <c r="WRU35" s="707"/>
      <c r="WRV35" s="707"/>
      <c r="WRW35" s="707"/>
      <c r="WRX35" s="707"/>
      <c r="WRY35" s="707"/>
      <c r="WRZ35" s="707"/>
      <c r="WSA35" s="707"/>
      <c r="WSB35" s="707"/>
      <c r="WSC35" s="707"/>
      <c r="WSD35" s="707"/>
      <c r="WSE35" s="707"/>
      <c r="WSF35" s="707"/>
      <c r="WSG35" s="707"/>
      <c r="WSH35" s="707"/>
      <c r="WSI35" s="707"/>
      <c r="WSJ35" s="707"/>
      <c r="WSK35" s="707"/>
      <c r="WSL35" s="707"/>
      <c r="WSM35" s="707"/>
      <c r="WSN35" s="707"/>
      <c r="WSO35" s="707"/>
      <c r="WSP35" s="707"/>
      <c r="WSQ35" s="707"/>
      <c r="WSR35" s="707"/>
      <c r="WSS35" s="707"/>
      <c r="WST35" s="707"/>
      <c r="WSU35" s="707"/>
      <c r="WSV35" s="707"/>
      <c r="WSW35" s="707"/>
      <c r="WSX35" s="707"/>
      <c r="WSY35" s="707"/>
      <c r="WSZ35" s="707"/>
      <c r="WTA35" s="707"/>
      <c r="WTB35" s="707"/>
      <c r="WTC35" s="707"/>
      <c r="WTD35" s="707"/>
      <c r="WTE35" s="707"/>
      <c r="WTF35" s="707"/>
      <c r="WTG35" s="707"/>
      <c r="WTH35" s="707"/>
      <c r="WTI35" s="707"/>
      <c r="WTJ35" s="707"/>
      <c r="WTK35" s="707"/>
      <c r="WTL35" s="707"/>
      <c r="WTM35" s="707"/>
      <c r="WTN35" s="707"/>
      <c r="WTO35" s="707"/>
      <c r="WTP35" s="707"/>
      <c r="WTQ35" s="707"/>
      <c r="WTR35" s="707"/>
      <c r="WTS35" s="707"/>
      <c r="WTT35" s="707"/>
      <c r="WTU35" s="707"/>
      <c r="WTV35" s="707"/>
      <c r="WTW35" s="707"/>
      <c r="WTX35" s="707"/>
      <c r="WTY35" s="707"/>
      <c r="WTZ35" s="707"/>
      <c r="WUA35" s="707"/>
      <c r="WUB35" s="707"/>
      <c r="WUC35" s="707"/>
      <c r="WUD35" s="707"/>
      <c r="WUE35" s="707"/>
      <c r="WUF35" s="707"/>
      <c r="WUG35" s="707"/>
      <c r="WUH35" s="707"/>
      <c r="WUI35" s="707"/>
      <c r="WUJ35" s="707"/>
      <c r="WUK35" s="707"/>
      <c r="WUL35" s="707"/>
      <c r="WUM35" s="707"/>
      <c r="WUN35" s="707"/>
      <c r="WUO35" s="707"/>
      <c r="WUP35" s="707"/>
      <c r="WUQ35" s="707"/>
      <c r="WUR35" s="707"/>
      <c r="WUS35" s="707"/>
      <c r="WUT35" s="707"/>
      <c r="WUU35" s="707"/>
      <c r="WUV35" s="707"/>
      <c r="WUW35" s="707"/>
      <c r="WUX35" s="707"/>
      <c r="WUY35" s="707"/>
      <c r="WUZ35" s="707"/>
      <c r="WVA35" s="707"/>
      <c r="WVB35" s="707"/>
      <c r="WVC35" s="707"/>
      <c r="WVD35" s="707"/>
      <c r="WVE35" s="707"/>
      <c r="WVF35" s="707"/>
      <c r="WVG35" s="707"/>
      <c r="WVH35" s="707"/>
      <c r="WVI35" s="707"/>
      <c r="WVJ35" s="707"/>
      <c r="WVK35" s="707"/>
      <c r="WVL35" s="707"/>
      <c r="WVM35" s="707"/>
      <c r="WVN35" s="707"/>
      <c r="WVO35" s="707"/>
      <c r="WVP35" s="707"/>
      <c r="WVQ35" s="707"/>
      <c r="WVR35" s="707"/>
      <c r="WVS35" s="707"/>
      <c r="WVT35" s="707"/>
      <c r="WVU35" s="707"/>
      <c r="WVV35" s="707"/>
      <c r="WVW35" s="707"/>
      <c r="WVX35" s="707"/>
      <c r="WVY35" s="707"/>
      <c r="WVZ35" s="707"/>
      <c r="WWA35" s="707"/>
      <c r="WWB35" s="707"/>
      <c r="WWC35" s="707"/>
      <c r="WWD35" s="707"/>
      <c r="WWE35" s="707"/>
      <c r="WWF35" s="707"/>
      <c r="WWG35" s="707"/>
      <c r="WWH35" s="707"/>
      <c r="WWI35" s="707"/>
      <c r="WWJ35" s="707"/>
      <c r="WWK35" s="707"/>
      <c r="WWL35" s="707"/>
      <c r="WWM35" s="707"/>
      <c r="WWN35" s="707"/>
      <c r="WWO35" s="707"/>
      <c r="WWP35" s="707"/>
      <c r="WWQ35" s="707"/>
      <c r="WWR35" s="707"/>
      <c r="WWS35" s="707"/>
      <c r="WWT35" s="707"/>
      <c r="WWU35" s="707"/>
      <c r="WWV35" s="707"/>
      <c r="WWW35" s="707"/>
      <c r="WWX35" s="707"/>
      <c r="WWY35" s="707"/>
      <c r="WWZ35" s="707"/>
      <c r="WXA35" s="707"/>
      <c r="WXB35" s="707"/>
      <c r="WXC35" s="707"/>
      <c r="WXD35" s="707"/>
      <c r="WXE35" s="707"/>
      <c r="WXF35" s="707"/>
      <c r="WXG35" s="707"/>
      <c r="WXH35" s="707"/>
      <c r="WXI35" s="707"/>
      <c r="WXJ35" s="707"/>
      <c r="WXK35" s="707"/>
      <c r="WXL35" s="707"/>
      <c r="WXM35" s="707"/>
      <c r="WXN35" s="707"/>
      <c r="WXO35" s="707"/>
      <c r="WXP35" s="707"/>
      <c r="WXQ35" s="707"/>
      <c r="WXR35" s="707"/>
      <c r="WXS35" s="707"/>
      <c r="WXT35" s="707"/>
      <c r="WXU35" s="707"/>
      <c r="WXV35" s="707"/>
      <c r="WXW35" s="707"/>
      <c r="WXX35" s="707"/>
      <c r="WXY35" s="707"/>
      <c r="WXZ35" s="707"/>
      <c r="WYA35" s="707"/>
      <c r="WYB35" s="707"/>
      <c r="WYC35" s="707"/>
      <c r="WYD35" s="707"/>
      <c r="WYE35" s="707"/>
      <c r="WYF35" s="707"/>
      <c r="WYG35" s="707"/>
      <c r="WYH35" s="707"/>
      <c r="WYI35" s="707"/>
      <c r="WYJ35" s="707"/>
      <c r="WYK35" s="707"/>
      <c r="WYL35" s="707"/>
      <c r="WYM35" s="707"/>
      <c r="WYN35" s="707"/>
      <c r="WYO35" s="707"/>
      <c r="WYP35" s="707"/>
      <c r="WYQ35" s="707"/>
      <c r="WYR35" s="707"/>
      <c r="WYS35" s="707"/>
      <c r="WYT35" s="707"/>
      <c r="WYU35" s="707"/>
      <c r="WYV35" s="707"/>
      <c r="WYW35" s="707"/>
      <c r="WYX35" s="707"/>
      <c r="WYY35" s="707"/>
      <c r="WYZ35" s="707"/>
      <c r="WZA35" s="707"/>
      <c r="WZB35" s="707"/>
      <c r="WZC35" s="707"/>
      <c r="WZD35" s="707"/>
      <c r="WZE35" s="707"/>
      <c r="WZF35" s="707"/>
      <c r="WZG35" s="707"/>
      <c r="WZH35" s="707"/>
      <c r="WZI35" s="707"/>
      <c r="WZJ35" s="707"/>
      <c r="WZK35" s="707"/>
      <c r="WZL35" s="707"/>
      <c r="WZM35" s="707"/>
      <c r="WZN35" s="707"/>
      <c r="WZO35" s="707"/>
      <c r="WZP35" s="707"/>
      <c r="WZQ35" s="707"/>
      <c r="WZR35" s="707"/>
      <c r="WZS35" s="707"/>
      <c r="WZT35" s="707"/>
      <c r="WZU35" s="707"/>
      <c r="WZV35" s="707"/>
      <c r="WZW35" s="707"/>
      <c r="WZX35" s="707"/>
      <c r="WZY35" s="707"/>
      <c r="WZZ35" s="707"/>
      <c r="XAA35" s="707"/>
      <c r="XAB35" s="707"/>
      <c r="XAC35" s="707"/>
      <c r="XAD35" s="707"/>
      <c r="XAE35" s="707"/>
      <c r="XAF35" s="707"/>
      <c r="XAG35" s="707"/>
      <c r="XAH35" s="707"/>
      <c r="XAI35" s="707"/>
      <c r="XAJ35" s="707"/>
      <c r="XAK35" s="707"/>
      <c r="XAL35" s="707"/>
      <c r="XAM35" s="707"/>
      <c r="XAN35" s="707"/>
      <c r="XAO35" s="707"/>
      <c r="XAP35" s="707"/>
      <c r="XAQ35" s="707"/>
      <c r="XAR35" s="707"/>
      <c r="XAS35" s="707"/>
      <c r="XAT35" s="707"/>
      <c r="XAU35" s="707"/>
      <c r="XAV35" s="707"/>
      <c r="XAW35" s="707"/>
      <c r="XAX35" s="707"/>
      <c r="XAY35" s="707"/>
      <c r="XAZ35" s="707"/>
      <c r="XBA35" s="707"/>
      <c r="XBB35" s="707"/>
      <c r="XBC35" s="707"/>
      <c r="XBD35" s="707"/>
      <c r="XBE35" s="707"/>
      <c r="XBF35" s="707"/>
      <c r="XBG35" s="707"/>
      <c r="XBH35" s="707"/>
      <c r="XBI35" s="707"/>
      <c r="XBJ35" s="707"/>
      <c r="XBK35" s="707"/>
      <c r="XBL35" s="707"/>
      <c r="XBM35" s="707"/>
      <c r="XBN35" s="707"/>
      <c r="XBO35" s="707"/>
      <c r="XBP35" s="707"/>
      <c r="XBQ35" s="707"/>
      <c r="XBR35" s="707"/>
      <c r="XBS35" s="707"/>
      <c r="XBT35" s="707"/>
      <c r="XBU35" s="707"/>
      <c r="XBV35" s="707"/>
      <c r="XBW35" s="707"/>
      <c r="XBX35" s="707"/>
      <c r="XBY35" s="707"/>
      <c r="XBZ35" s="707"/>
      <c r="XCA35" s="707"/>
      <c r="XCB35" s="707"/>
      <c r="XCC35" s="707"/>
      <c r="XCD35" s="707"/>
      <c r="XCE35" s="707"/>
      <c r="XCF35" s="707"/>
      <c r="XCG35" s="707"/>
      <c r="XCH35" s="707"/>
      <c r="XCI35" s="707"/>
      <c r="XCJ35" s="707"/>
      <c r="XCK35" s="707"/>
      <c r="XCL35" s="707"/>
      <c r="XCM35" s="707"/>
      <c r="XCN35" s="707"/>
      <c r="XCO35" s="707"/>
      <c r="XCP35" s="707"/>
      <c r="XCQ35" s="707"/>
      <c r="XCR35" s="707"/>
      <c r="XCS35" s="707"/>
      <c r="XCT35" s="707"/>
      <c r="XCU35" s="707"/>
      <c r="XCV35" s="707"/>
      <c r="XCW35" s="707"/>
      <c r="XCX35" s="707"/>
      <c r="XCY35" s="707"/>
      <c r="XCZ35" s="707"/>
      <c r="XDA35" s="707"/>
      <c r="XDB35" s="707"/>
      <c r="XDC35" s="707"/>
      <c r="XDD35" s="707"/>
      <c r="XDE35" s="707"/>
      <c r="XDF35" s="707"/>
      <c r="XDG35" s="707"/>
      <c r="XDH35" s="707"/>
      <c r="XDI35" s="707"/>
      <c r="XDJ35" s="707"/>
      <c r="XDK35" s="707"/>
      <c r="XDL35" s="707"/>
      <c r="XDM35" s="707"/>
      <c r="XDN35" s="707"/>
      <c r="XDO35" s="707"/>
      <c r="XDP35" s="707"/>
      <c r="XDQ35" s="707"/>
      <c r="XDR35" s="707"/>
      <c r="XDS35" s="707"/>
      <c r="XDT35" s="707"/>
      <c r="XDU35" s="707"/>
      <c r="XDV35" s="707"/>
      <c r="XDW35" s="707"/>
      <c r="XDX35" s="707"/>
      <c r="XDY35" s="707"/>
      <c r="XDZ35" s="707"/>
      <c r="XEA35" s="707"/>
      <c r="XEB35" s="707"/>
      <c r="XEC35" s="707"/>
      <c r="XED35" s="707"/>
      <c r="XEE35" s="707"/>
      <c r="XEF35" s="707"/>
      <c r="XEG35" s="707"/>
      <c r="XEH35" s="707"/>
      <c r="XEI35" s="707"/>
      <c r="XEJ35" s="707"/>
      <c r="XEK35" s="707"/>
      <c r="XEL35" s="707"/>
      <c r="XEM35" s="707"/>
      <c r="XEN35" s="707"/>
      <c r="XEO35" s="707"/>
      <c r="XEP35" s="707"/>
      <c r="XEQ35" s="707"/>
      <c r="XER35" s="707"/>
      <c r="XES35" s="707"/>
      <c r="XET35" s="707"/>
      <c r="XEU35" s="707"/>
      <c r="XEV35" s="707"/>
      <c r="XEW35" s="707"/>
      <c r="XEX35" s="707"/>
      <c r="XEY35" s="707"/>
      <c r="XEZ35" s="707"/>
      <c r="XFA35" s="707"/>
    </row>
    <row r="36" spans="1:16381" ht="60.75" customHeight="1">
      <c r="A36" s="646" t="s">
        <v>200</v>
      </c>
      <c r="B36" s="653" t="s">
        <v>271</v>
      </c>
      <c r="C36" s="647"/>
      <c r="D36" s="647"/>
      <c r="E36" s="647"/>
      <c r="F36" s="647"/>
      <c r="G36" s="647"/>
      <c r="H36" s="647"/>
      <c r="I36" s="648"/>
      <c r="J36" s="649"/>
      <c r="K36" s="650"/>
      <c r="L36" s="650"/>
      <c r="M36" s="650"/>
      <c r="N36" s="650"/>
      <c r="O36" s="646"/>
      <c r="P36" s="646"/>
      <c r="Q36" s="646"/>
      <c r="R36" s="646"/>
      <c r="S36" s="707"/>
      <c r="T36" s="707"/>
      <c r="U36" s="707"/>
      <c r="V36" s="707"/>
      <c r="W36" s="707"/>
      <c r="X36" s="707"/>
      <c r="Y36" s="707"/>
      <c r="Z36" s="707"/>
      <c r="AA36" s="707"/>
      <c r="AB36" s="707"/>
      <c r="AC36" s="707"/>
      <c r="AD36" s="707"/>
      <c r="AE36" s="707"/>
      <c r="AF36" s="707"/>
      <c r="AG36" s="707"/>
      <c r="AH36" s="10"/>
      <c r="AI36" s="270"/>
      <c r="AJ36" s="10"/>
      <c r="AK36" s="562"/>
      <c r="AL36" s="7"/>
      <c r="AM36" s="404"/>
      <c r="AN36" s="404"/>
      <c r="AO36" s="404"/>
      <c r="AP36" s="404"/>
      <c r="AQ36" s="404"/>
      <c r="AR36" s="565"/>
      <c r="AS36" s="565"/>
      <c r="AT36" s="565"/>
      <c r="AU36" s="565"/>
      <c r="AV36" s="565"/>
      <c r="AW36" s="565"/>
      <c r="AX36" s="707"/>
      <c r="AY36" s="707"/>
      <c r="AZ36" s="707"/>
      <c r="BA36" s="707"/>
      <c r="BB36" s="707"/>
      <c r="BC36" s="707"/>
      <c r="BD36" s="707"/>
      <c r="BE36" s="707"/>
      <c r="BF36" s="707"/>
      <c r="BG36" s="707"/>
      <c r="BH36" s="707"/>
      <c r="BI36" s="707"/>
      <c r="BJ36" s="707"/>
      <c r="BK36" s="707"/>
      <c r="BL36" s="707"/>
      <c r="BM36" s="707"/>
      <c r="BN36" s="707"/>
      <c r="BO36" s="707"/>
      <c r="BP36" s="707"/>
      <c r="BQ36" s="707"/>
      <c r="BR36" s="707"/>
      <c r="BS36" s="707"/>
      <c r="BT36" s="707"/>
      <c r="BU36" s="707"/>
      <c r="BV36" s="707"/>
      <c r="BW36" s="707"/>
      <c r="BX36" s="707"/>
      <c r="BY36" s="707"/>
      <c r="BZ36" s="707"/>
      <c r="CA36" s="707"/>
      <c r="CB36" s="707"/>
      <c r="CC36" s="707"/>
      <c r="CD36" s="707"/>
      <c r="CE36" s="707"/>
      <c r="CF36" s="707"/>
      <c r="CG36" s="707"/>
      <c r="CH36" s="707"/>
      <c r="CI36" s="707"/>
      <c r="CJ36" s="707"/>
      <c r="CK36" s="707"/>
      <c r="CL36" s="707"/>
      <c r="CM36" s="707"/>
      <c r="CN36" s="707"/>
      <c r="CO36" s="707"/>
      <c r="CP36" s="707"/>
      <c r="CQ36" s="707"/>
      <c r="CR36" s="707"/>
      <c r="CS36" s="707"/>
      <c r="CT36" s="707"/>
      <c r="CU36" s="707"/>
      <c r="CV36" s="707"/>
      <c r="CW36" s="707"/>
      <c r="CX36" s="707"/>
      <c r="CY36" s="707"/>
      <c r="CZ36" s="707"/>
      <c r="DA36" s="707"/>
      <c r="DB36" s="707"/>
      <c r="DC36" s="707"/>
      <c r="DD36" s="707"/>
      <c r="DE36" s="707"/>
      <c r="DF36" s="707"/>
      <c r="DG36" s="707"/>
      <c r="DH36" s="707"/>
      <c r="DI36" s="707"/>
      <c r="DJ36" s="707"/>
      <c r="DK36" s="707"/>
      <c r="DL36" s="707"/>
      <c r="DM36" s="707"/>
      <c r="DN36" s="707"/>
      <c r="DO36" s="707"/>
      <c r="DP36" s="707"/>
      <c r="DQ36" s="707"/>
      <c r="DR36" s="707"/>
      <c r="DS36" s="707"/>
      <c r="DT36" s="707"/>
      <c r="DU36" s="707"/>
      <c r="DV36" s="707"/>
      <c r="DW36" s="707"/>
      <c r="DX36" s="707"/>
      <c r="DY36" s="707"/>
      <c r="DZ36" s="707"/>
      <c r="EA36" s="707"/>
      <c r="EB36" s="707"/>
      <c r="EC36" s="707"/>
      <c r="ED36" s="707"/>
      <c r="EE36" s="707"/>
      <c r="EF36" s="707"/>
      <c r="EG36" s="707"/>
      <c r="EH36" s="707"/>
      <c r="EI36" s="707"/>
      <c r="EJ36" s="707"/>
      <c r="EK36" s="707"/>
      <c r="EL36" s="707"/>
      <c r="EM36" s="707"/>
      <c r="EN36" s="707"/>
      <c r="EO36" s="707"/>
      <c r="EP36" s="707"/>
      <c r="EQ36" s="707"/>
      <c r="ER36" s="707"/>
      <c r="ES36" s="707"/>
      <c r="ET36" s="707"/>
      <c r="EU36" s="707"/>
      <c r="EV36" s="707"/>
      <c r="EW36" s="707"/>
      <c r="EX36" s="707"/>
      <c r="EY36" s="707"/>
      <c r="EZ36" s="707"/>
      <c r="FA36" s="707"/>
      <c r="FB36" s="707"/>
      <c r="FC36" s="707"/>
      <c r="FD36" s="707"/>
      <c r="FE36" s="707"/>
      <c r="FF36" s="707"/>
      <c r="FG36" s="707"/>
      <c r="FH36" s="707"/>
      <c r="FI36" s="707"/>
      <c r="FJ36" s="707"/>
      <c r="FK36" s="707"/>
      <c r="FL36" s="707"/>
      <c r="FM36" s="707"/>
      <c r="FN36" s="707"/>
      <c r="FO36" s="707"/>
      <c r="FP36" s="707"/>
      <c r="FQ36" s="707"/>
      <c r="FR36" s="707"/>
      <c r="FS36" s="707"/>
      <c r="FT36" s="707"/>
      <c r="FU36" s="707"/>
      <c r="FV36" s="707"/>
      <c r="FW36" s="707"/>
      <c r="FX36" s="707"/>
      <c r="FY36" s="707"/>
      <c r="FZ36" s="707"/>
      <c r="GA36" s="707"/>
      <c r="GB36" s="707"/>
      <c r="GC36" s="707"/>
      <c r="GD36" s="707"/>
      <c r="GE36" s="707"/>
      <c r="GF36" s="707"/>
      <c r="GG36" s="707"/>
      <c r="GH36" s="707"/>
      <c r="GI36" s="707"/>
      <c r="GJ36" s="707"/>
      <c r="GK36" s="707"/>
      <c r="GL36" s="707"/>
      <c r="GM36" s="707"/>
      <c r="GN36" s="707"/>
      <c r="GO36" s="707"/>
      <c r="GP36" s="707"/>
      <c r="GQ36" s="707"/>
      <c r="GR36" s="707"/>
      <c r="GS36" s="707"/>
      <c r="GT36" s="707"/>
      <c r="GU36" s="707"/>
      <c r="GV36" s="707"/>
      <c r="GW36" s="707"/>
      <c r="GX36" s="707"/>
      <c r="GY36" s="707"/>
      <c r="GZ36" s="707"/>
      <c r="HA36" s="707"/>
      <c r="HB36" s="707"/>
      <c r="HC36" s="707"/>
      <c r="HD36" s="707"/>
      <c r="HE36" s="707"/>
      <c r="HF36" s="707"/>
      <c r="HG36" s="707"/>
      <c r="HH36" s="707"/>
      <c r="HI36" s="707"/>
      <c r="HJ36" s="707"/>
      <c r="HK36" s="707"/>
      <c r="HL36" s="707"/>
      <c r="HM36" s="707"/>
      <c r="HN36" s="707"/>
      <c r="HO36" s="707"/>
      <c r="HP36" s="707"/>
      <c r="HQ36" s="707"/>
      <c r="HR36" s="707"/>
      <c r="HS36" s="707"/>
      <c r="HT36" s="707"/>
      <c r="HU36" s="707"/>
      <c r="HV36" s="707"/>
      <c r="HW36" s="707"/>
      <c r="HX36" s="707"/>
      <c r="HY36" s="707"/>
      <c r="HZ36" s="707"/>
      <c r="IA36" s="707"/>
      <c r="IB36" s="707"/>
      <c r="IC36" s="707"/>
      <c r="ID36" s="707"/>
      <c r="IE36" s="707"/>
      <c r="IF36" s="707"/>
      <c r="IG36" s="707"/>
      <c r="IH36" s="707"/>
      <c r="II36" s="707"/>
      <c r="IJ36" s="707"/>
      <c r="IK36" s="707"/>
      <c r="IL36" s="707"/>
      <c r="IM36" s="707"/>
      <c r="IN36" s="707"/>
      <c r="IO36" s="707"/>
      <c r="IP36" s="707"/>
      <c r="IQ36" s="707"/>
      <c r="IR36" s="707"/>
      <c r="IS36" s="707"/>
      <c r="IT36" s="707"/>
      <c r="IU36" s="707"/>
      <c r="IV36" s="707"/>
      <c r="IW36" s="707"/>
      <c r="IX36" s="707"/>
      <c r="IY36" s="707"/>
      <c r="IZ36" s="707"/>
      <c r="JA36" s="707"/>
      <c r="JB36" s="707"/>
      <c r="JC36" s="707"/>
      <c r="JD36" s="707"/>
      <c r="JE36" s="707"/>
      <c r="JF36" s="707"/>
      <c r="JG36" s="707"/>
      <c r="JH36" s="707"/>
      <c r="JI36" s="707"/>
      <c r="JJ36" s="707"/>
      <c r="JK36" s="707"/>
      <c r="JL36" s="707"/>
      <c r="JM36" s="707"/>
      <c r="JN36" s="707"/>
      <c r="JO36" s="707"/>
      <c r="JP36" s="707"/>
      <c r="JQ36" s="707"/>
      <c r="JR36" s="707"/>
      <c r="JS36" s="707"/>
      <c r="JT36" s="707"/>
      <c r="JU36" s="707"/>
      <c r="JV36" s="707"/>
      <c r="JW36" s="707"/>
      <c r="JX36" s="707"/>
      <c r="JY36" s="707"/>
      <c r="JZ36" s="707"/>
      <c r="KA36" s="707"/>
      <c r="KB36" s="707"/>
      <c r="KC36" s="707"/>
      <c r="KD36" s="707"/>
      <c r="KE36" s="707"/>
      <c r="KF36" s="707"/>
      <c r="KG36" s="707"/>
      <c r="KH36" s="707"/>
      <c r="KI36" s="707"/>
      <c r="KJ36" s="707"/>
      <c r="KK36" s="707"/>
      <c r="KL36" s="707"/>
      <c r="KM36" s="707"/>
      <c r="KN36" s="707"/>
      <c r="KO36" s="707"/>
      <c r="KP36" s="707"/>
      <c r="KQ36" s="707"/>
      <c r="KR36" s="707"/>
      <c r="KS36" s="707"/>
      <c r="KT36" s="707"/>
      <c r="KU36" s="707"/>
      <c r="KV36" s="707"/>
      <c r="KW36" s="707"/>
      <c r="KX36" s="707"/>
      <c r="KY36" s="707"/>
      <c r="KZ36" s="707"/>
      <c r="LA36" s="707"/>
      <c r="LB36" s="707"/>
      <c r="LC36" s="707"/>
      <c r="LD36" s="707"/>
      <c r="LE36" s="707"/>
      <c r="LF36" s="707"/>
      <c r="LG36" s="707"/>
      <c r="LH36" s="707"/>
      <c r="LI36" s="707"/>
      <c r="LJ36" s="707"/>
      <c r="LK36" s="707"/>
      <c r="LL36" s="707"/>
      <c r="LM36" s="707"/>
      <c r="LN36" s="707"/>
      <c r="LO36" s="707"/>
      <c r="LP36" s="707"/>
      <c r="LQ36" s="707"/>
      <c r="LR36" s="707"/>
      <c r="LS36" s="707"/>
      <c r="LT36" s="707"/>
      <c r="LU36" s="707"/>
      <c r="LV36" s="707"/>
      <c r="LW36" s="707"/>
      <c r="LX36" s="707"/>
      <c r="LY36" s="707"/>
      <c r="LZ36" s="707"/>
      <c r="MA36" s="707"/>
      <c r="MB36" s="707"/>
      <c r="MC36" s="707"/>
      <c r="MD36" s="707"/>
      <c r="ME36" s="707"/>
      <c r="MF36" s="707"/>
      <c r="MG36" s="707"/>
      <c r="MH36" s="707"/>
      <c r="MI36" s="707"/>
      <c r="MJ36" s="707"/>
      <c r="MK36" s="707"/>
      <c r="ML36" s="707"/>
      <c r="MM36" s="707"/>
      <c r="MN36" s="707"/>
      <c r="MO36" s="707"/>
      <c r="MP36" s="707"/>
      <c r="MQ36" s="707"/>
      <c r="MR36" s="707"/>
      <c r="MS36" s="707"/>
      <c r="MT36" s="707"/>
      <c r="MU36" s="707"/>
      <c r="MV36" s="707"/>
      <c r="MW36" s="707"/>
      <c r="MX36" s="707"/>
      <c r="MY36" s="707"/>
      <c r="MZ36" s="707"/>
      <c r="NA36" s="707"/>
      <c r="NB36" s="707"/>
      <c r="NC36" s="707"/>
      <c r="ND36" s="707"/>
      <c r="NE36" s="707"/>
      <c r="NF36" s="707"/>
      <c r="NG36" s="707"/>
      <c r="NH36" s="707"/>
      <c r="NI36" s="707"/>
      <c r="NJ36" s="707"/>
      <c r="NK36" s="707"/>
      <c r="NL36" s="707"/>
      <c r="NM36" s="707"/>
      <c r="NN36" s="707"/>
      <c r="NO36" s="707"/>
      <c r="NP36" s="707"/>
      <c r="NQ36" s="707"/>
      <c r="NR36" s="707"/>
      <c r="NS36" s="707"/>
      <c r="NT36" s="707"/>
      <c r="NU36" s="707"/>
      <c r="NV36" s="707"/>
      <c r="NW36" s="707"/>
      <c r="NX36" s="707"/>
      <c r="NY36" s="707"/>
      <c r="NZ36" s="707"/>
      <c r="OA36" s="707"/>
      <c r="OB36" s="707"/>
      <c r="OC36" s="707"/>
      <c r="OD36" s="707"/>
      <c r="OE36" s="707"/>
      <c r="OF36" s="707"/>
      <c r="OG36" s="707"/>
      <c r="OH36" s="707"/>
      <c r="OI36" s="707"/>
      <c r="OJ36" s="707"/>
      <c r="OK36" s="707"/>
      <c r="OL36" s="707"/>
      <c r="OM36" s="707"/>
      <c r="ON36" s="707"/>
      <c r="OO36" s="707"/>
      <c r="OP36" s="707"/>
      <c r="OQ36" s="707"/>
      <c r="OR36" s="707"/>
      <c r="OS36" s="707"/>
      <c r="OT36" s="707"/>
      <c r="OU36" s="707"/>
      <c r="OV36" s="707"/>
      <c r="OW36" s="707"/>
      <c r="OX36" s="707"/>
      <c r="OY36" s="707"/>
      <c r="OZ36" s="707"/>
      <c r="PA36" s="707"/>
      <c r="PB36" s="707"/>
      <c r="PC36" s="707"/>
      <c r="PD36" s="707"/>
      <c r="PE36" s="707"/>
      <c r="PF36" s="707"/>
      <c r="PG36" s="707"/>
      <c r="PH36" s="707"/>
      <c r="PI36" s="707"/>
      <c r="PJ36" s="707"/>
      <c r="PK36" s="707"/>
      <c r="PL36" s="707"/>
      <c r="PM36" s="707"/>
      <c r="PN36" s="707"/>
      <c r="PO36" s="707"/>
      <c r="PP36" s="707"/>
      <c r="PQ36" s="707"/>
      <c r="PR36" s="707"/>
      <c r="PS36" s="707"/>
      <c r="PT36" s="707"/>
      <c r="PU36" s="707"/>
      <c r="PV36" s="707"/>
      <c r="PW36" s="707"/>
      <c r="PX36" s="707"/>
      <c r="PY36" s="707"/>
      <c r="PZ36" s="707"/>
      <c r="QA36" s="707"/>
      <c r="QB36" s="707"/>
      <c r="QC36" s="707"/>
      <c r="QD36" s="707"/>
      <c r="QE36" s="707"/>
      <c r="QF36" s="707"/>
      <c r="QG36" s="707"/>
      <c r="QH36" s="707"/>
      <c r="QI36" s="707"/>
      <c r="QJ36" s="707"/>
      <c r="QK36" s="707"/>
      <c r="QL36" s="707"/>
      <c r="QM36" s="707"/>
      <c r="QN36" s="707"/>
      <c r="QO36" s="707"/>
      <c r="QP36" s="707"/>
      <c r="QQ36" s="707"/>
      <c r="QR36" s="707"/>
      <c r="QS36" s="707"/>
      <c r="QT36" s="707"/>
      <c r="QU36" s="707"/>
      <c r="QV36" s="707"/>
      <c r="QW36" s="707"/>
      <c r="QX36" s="707"/>
      <c r="QY36" s="707"/>
      <c r="QZ36" s="707"/>
      <c r="RA36" s="707"/>
      <c r="RB36" s="707"/>
      <c r="RC36" s="707"/>
      <c r="RD36" s="707"/>
      <c r="RE36" s="707"/>
      <c r="RF36" s="707"/>
      <c r="RG36" s="707"/>
      <c r="RH36" s="707"/>
      <c r="RI36" s="707"/>
      <c r="RJ36" s="707"/>
      <c r="RK36" s="707"/>
      <c r="RL36" s="707"/>
      <c r="RM36" s="707"/>
      <c r="RN36" s="707"/>
      <c r="RO36" s="707"/>
      <c r="RP36" s="707"/>
      <c r="RQ36" s="707"/>
      <c r="RR36" s="707"/>
      <c r="RS36" s="707"/>
      <c r="RT36" s="707"/>
      <c r="RU36" s="707"/>
      <c r="RV36" s="707"/>
      <c r="RW36" s="707"/>
      <c r="RX36" s="707"/>
      <c r="RY36" s="707"/>
      <c r="RZ36" s="707"/>
      <c r="SA36" s="707"/>
      <c r="SB36" s="707"/>
      <c r="SC36" s="707"/>
      <c r="SD36" s="707"/>
      <c r="SE36" s="707"/>
      <c r="SF36" s="707"/>
      <c r="SG36" s="707"/>
      <c r="SH36" s="707"/>
      <c r="SI36" s="707"/>
      <c r="SJ36" s="707"/>
      <c r="SK36" s="707"/>
      <c r="SL36" s="707"/>
      <c r="SM36" s="707"/>
      <c r="SN36" s="707"/>
      <c r="SO36" s="707"/>
      <c r="SP36" s="707"/>
      <c r="SQ36" s="707"/>
      <c r="SR36" s="707"/>
      <c r="SS36" s="707"/>
      <c r="ST36" s="707"/>
      <c r="SU36" s="707"/>
      <c r="SV36" s="707"/>
      <c r="SW36" s="707"/>
      <c r="SX36" s="707"/>
      <c r="SY36" s="707"/>
      <c r="SZ36" s="707"/>
      <c r="TA36" s="707"/>
      <c r="TB36" s="707"/>
      <c r="TC36" s="707"/>
      <c r="TD36" s="707"/>
      <c r="TE36" s="707"/>
      <c r="TF36" s="707"/>
      <c r="TG36" s="707"/>
      <c r="TH36" s="707"/>
      <c r="TI36" s="707"/>
      <c r="TJ36" s="707"/>
      <c r="TK36" s="707"/>
      <c r="TL36" s="707"/>
      <c r="TM36" s="707"/>
      <c r="TN36" s="707"/>
      <c r="TO36" s="707"/>
      <c r="TP36" s="707"/>
      <c r="TQ36" s="707"/>
      <c r="TR36" s="707"/>
      <c r="TS36" s="707"/>
      <c r="TT36" s="707"/>
      <c r="TU36" s="707"/>
      <c r="TV36" s="707"/>
      <c r="TW36" s="707"/>
      <c r="TX36" s="707"/>
      <c r="TY36" s="707"/>
      <c r="TZ36" s="707"/>
      <c r="UA36" s="707"/>
      <c r="UB36" s="707"/>
      <c r="UC36" s="707"/>
      <c r="UD36" s="707"/>
      <c r="UE36" s="707"/>
      <c r="UF36" s="707"/>
      <c r="UG36" s="707"/>
      <c r="UH36" s="707"/>
      <c r="UI36" s="707"/>
      <c r="UJ36" s="707"/>
      <c r="UK36" s="707"/>
      <c r="UL36" s="707"/>
      <c r="UM36" s="707"/>
      <c r="UN36" s="707"/>
      <c r="UO36" s="707"/>
      <c r="UP36" s="707"/>
      <c r="UQ36" s="707"/>
      <c r="UR36" s="707"/>
      <c r="US36" s="707"/>
      <c r="UT36" s="707"/>
      <c r="UU36" s="707"/>
      <c r="UV36" s="707"/>
      <c r="UW36" s="707"/>
      <c r="UX36" s="707"/>
      <c r="UY36" s="707"/>
      <c r="UZ36" s="707"/>
      <c r="VA36" s="707"/>
      <c r="VB36" s="707"/>
      <c r="VC36" s="707"/>
      <c r="VD36" s="707"/>
      <c r="VE36" s="707"/>
      <c r="VF36" s="707"/>
      <c r="VG36" s="707"/>
      <c r="VH36" s="707"/>
      <c r="VI36" s="707"/>
      <c r="VJ36" s="707"/>
      <c r="VK36" s="707"/>
      <c r="VL36" s="707"/>
      <c r="VM36" s="707"/>
      <c r="VN36" s="707"/>
      <c r="VO36" s="707"/>
      <c r="VP36" s="707"/>
      <c r="VQ36" s="707"/>
      <c r="VR36" s="707"/>
      <c r="VS36" s="707"/>
      <c r="VT36" s="707"/>
      <c r="VU36" s="707"/>
      <c r="VV36" s="707"/>
      <c r="VW36" s="707"/>
      <c r="VX36" s="707"/>
      <c r="VY36" s="707"/>
      <c r="VZ36" s="707"/>
      <c r="WA36" s="707"/>
      <c r="WB36" s="707"/>
      <c r="WC36" s="707"/>
      <c r="WD36" s="707"/>
      <c r="WE36" s="707"/>
      <c r="WF36" s="707"/>
      <c r="WG36" s="707"/>
      <c r="WH36" s="707"/>
      <c r="WI36" s="707"/>
      <c r="WJ36" s="707"/>
      <c r="WK36" s="707"/>
      <c r="WL36" s="707"/>
      <c r="WM36" s="707"/>
      <c r="WN36" s="707"/>
      <c r="WO36" s="707"/>
      <c r="WP36" s="707"/>
      <c r="WQ36" s="707"/>
      <c r="WR36" s="707"/>
      <c r="WS36" s="707"/>
      <c r="WT36" s="707"/>
      <c r="WU36" s="707"/>
      <c r="WV36" s="707"/>
      <c r="WW36" s="707"/>
      <c r="WX36" s="707"/>
      <c r="WY36" s="707"/>
      <c r="WZ36" s="707"/>
      <c r="XA36" s="707"/>
      <c r="XB36" s="707"/>
      <c r="XC36" s="707"/>
      <c r="XD36" s="707"/>
      <c r="XE36" s="707"/>
      <c r="XF36" s="707"/>
      <c r="XG36" s="707"/>
      <c r="XH36" s="707"/>
      <c r="XI36" s="707"/>
      <c r="XJ36" s="707"/>
      <c r="XK36" s="707"/>
      <c r="XL36" s="707"/>
      <c r="XM36" s="707"/>
      <c r="XN36" s="707"/>
      <c r="XO36" s="707"/>
      <c r="XP36" s="707"/>
      <c r="XQ36" s="707"/>
      <c r="XR36" s="707"/>
      <c r="XS36" s="707"/>
      <c r="XT36" s="707"/>
      <c r="XU36" s="707"/>
      <c r="XV36" s="707"/>
      <c r="XW36" s="707"/>
      <c r="XX36" s="707"/>
      <c r="XY36" s="707"/>
      <c r="XZ36" s="707"/>
      <c r="YA36" s="707"/>
      <c r="YB36" s="707"/>
      <c r="YC36" s="707"/>
      <c r="YD36" s="707"/>
      <c r="YE36" s="707"/>
      <c r="YF36" s="707"/>
      <c r="YG36" s="707"/>
      <c r="YH36" s="707"/>
      <c r="YI36" s="707"/>
      <c r="YJ36" s="707"/>
      <c r="YK36" s="707"/>
      <c r="YL36" s="707"/>
      <c r="YM36" s="707"/>
      <c r="YN36" s="707"/>
      <c r="YO36" s="707"/>
      <c r="YP36" s="707"/>
      <c r="YQ36" s="707"/>
      <c r="YR36" s="707"/>
      <c r="YS36" s="707"/>
      <c r="YT36" s="707"/>
      <c r="YU36" s="707"/>
      <c r="YV36" s="707"/>
      <c r="YW36" s="707"/>
      <c r="YX36" s="707"/>
      <c r="YY36" s="707"/>
      <c r="YZ36" s="707"/>
      <c r="ZA36" s="707"/>
      <c r="ZB36" s="707"/>
      <c r="ZC36" s="707"/>
      <c r="ZD36" s="707"/>
      <c r="ZE36" s="707"/>
      <c r="ZF36" s="707"/>
      <c r="ZG36" s="707"/>
      <c r="ZH36" s="707"/>
      <c r="ZI36" s="707"/>
      <c r="ZJ36" s="707"/>
      <c r="ZK36" s="707"/>
      <c r="ZL36" s="707"/>
      <c r="ZM36" s="707"/>
      <c r="ZN36" s="707"/>
      <c r="ZO36" s="707"/>
      <c r="ZP36" s="707"/>
      <c r="ZQ36" s="707"/>
      <c r="ZR36" s="707"/>
      <c r="ZS36" s="707"/>
      <c r="ZT36" s="707"/>
      <c r="ZU36" s="707"/>
      <c r="ZV36" s="707"/>
      <c r="ZW36" s="707"/>
      <c r="ZX36" s="707"/>
      <c r="ZY36" s="707"/>
      <c r="ZZ36" s="707"/>
      <c r="AAA36" s="707"/>
      <c r="AAB36" s="707"/>
      <c r="AAC36" s="707"/>
      <c r="AAD36" s="707"/>
      <c r="AAE36" s="707"/>
      <c r="AAF36" s="707"/>
      <c r="AAG36" s="707"/>
      <c r="AAH36" s="707"/>
      <c r="AAI36" s="707"/>
      <c r="AAJ36" s="707"/>
      <c r="AAK36" s="707"/>
      <c r="AAL36" s="707"/>
      <c r="AAM36" s="707"/>
      <c r="AAN36" s="707"/>
      <c r="AAO36" s="707"/>
      <c r="AAP36" s="707"/>
      <c r="AAQ36" s="707"/>
      <c r="AAR36" s="707"/>
      <c r="AAS36" s="707"/>
      <c r="AAT36" s="707"/>
      <c r="AAU36" s="707"/>
      <c r="AAV36" s="707"/>
      <c r="AAW36" s="707"/>
      <c r="AAX36" s="707"/>
      <c r="AAY36" s="707"/>
      <c r="AAZ36" s="707"/>
      <c r="ABA36" s="707"/>
      <c r="ABB36" s="707"/>
      <c r="ABC36" s="707"/>
      <c r="ABD36" s="707"/>
      <c r="ABE36" s="707"/>
      <c r="ABF36" s="707"/>
      <c r="ABG36" s="707"/>
      <c r="ABH36" s="707"/>
      <c r="ABI36" s="707"/>
      <c r="ABJ36" s="707"/>
      <c r="ABK36" s="707"/>
      <c r="ABL36" s="707"/>
      <c r="ABM36" s="707"/>
      <c r="ABN36" s="707"/>
      <c r="ABO36" s="707"/>
      <c r="ABP36" s="707"/>
      <c r="ABQ36" s="707"/>
      <c r="ABR36" s="707"/>
      <c r="ABS36" s="707"/>
      <c r="ABT36" s="707"/>
      <c r="ABU36" s="707"/>
      <c r="ABV36" s="707"/>
      <c r="ABW36" s="707"/>
      <c r="ABX36" s="707"/>
      <c r="ABY36" s="707"/>
      <c r="ABZ36" s="707"/>
      <c r="ACA36" s="707"/>
      <c r="ACB36" s="707"/>
      <c r="ACC36" s="707"/>
      <c r="ACD36" s="707"/>
      <c r="ACE36" s="707"/>
      <c r="ACF36" s="707"/>
      <c r="ACG36" s="707"/>
      <c r="ACH36" s="707"/>
      <c r="ACI36" s="707"/>
      <c r="ACJ36" s="707"/>
      <c r="ACK36" s="707"/>
      <c r="ACL36" s="707"/>
      <c r="ACM36" s="707"/>
      <c r="ACN36" s="707"/>
      <c r="ACO36" s="707"/>
      <c r="ACP36" s="707"/>
      <c r="ACQ36" s="707"/>
      <c r="ACR36" s="707"/>
      <c r="ACS36" s="707"/>
      <c r="ACT36" s="707"/>
      <c r="ACU36" s="707"/>
      <c r="ACV36" s="707"/>
      <c r="ACW36" s="707"/>
      <c r="ACX36" s="707"/>
      <c r="ACY36" s="707"/>
      <c r="ACZ36" s="707"/>
      <c r="ADA36" s="707"/>
      <c r="ADB36" s="707"/>
      <c r="ADC36" s="707"/>
      <c r="ADD36" s="707"/>
      <c r="ADE36" s="707"/>
      <c r="ADF36" s="707"/>
      <c r="ADG36" s="707"/>
      <c r="ADH36" s="707"/>
      <c r="ADI36" s="707"/>
      <c r="ADJ36" s="707"/>
      <c r="ADK36" s="707"/>
      <c r="ADL36" s="707"/>
      <c r="ADM36" s="707"/>
      <c r="ADN36" s="707"/>
      <c r="ADO36" s="707"/>
      <c r="ADP36" s="707"/>
      <c r="ADQ36" s="707"/>
      <c r="ADR36" s="707"/>
      <c r="ADS36" s="707"/>
      <c r="ADT36" s="707"/>
      <c r="ADU36" s="707"/>
      <c r="ADV36" s="707"/>
      <c r="ADW36" s="707"/>
      <c r="ADX36" s="707"/>
      <c r="ADY36" s="707"/>
      <c r="ADZ36" s="707"/>
      <c r="AEA36" s="707"/>
      <c r="AEB36" s="707"/>
      <c r="AEC36" s="707"/>
      <c r="AED36" s="707"/>
      <c r="AEE36" s="707"/>
      <c r="AEF36" s="707"/>
      <c r="AEG36" s="707"/>
      <c r="AEH36" s="707"/>
      <c r="AEI36" s="707"/>
      <c r="AEJ36" s="707"/>
      <c r="AEK36" s="707"/>
      <c r="AEL36" s="707"/>
      <c r="AEM36" s="707"/>
      <c r="AEN36" s="707"/>
      <c r="AEO36" s="707"/>
      <c r="AEP36" s="707"/>
      <c r="AEQ36" s="707"/>
      <c r="AER36" s="707"/>
      <c r="AES36" s="707"/>
      <c r="AET36" s="707"/>
      <c r="AEU36" s="707"/>
      <c r="AEV36" s="707"/>
      <c r="AEW36" s="707"/>
      <c r="AEX36" s="707"/>
      <c r="AEY36" s="707"/>
      <c r="AEZ36" s="707"/>
      <c r="AFA36" s="707"/>
      <c r="AFB36" s="707"/>
      <c r="AFC36" s="707"/>
      <c r="AFD36" s="707"/>
      <c r="AFE36" s="707"/>
      <c r="AFF36" s="707"/>
      <c r="AFG36" s="707"/>
      <c r="AFH36" s="707"/>
      <c r="AFI36" s="707"/>
      <c r="AFJ36" s="707"/>
      <c r="AFK36" s="707"/>
      <c r="AFL36" s="707"/>
      <c r="AFM36" s="707"/>
      <c r="AFN36" s="707"/>
      <c r="AFO36" s="707"/>
      <c r="AFP36" s="707"/>
      <c r="AFQ36" s="707"/>
      <c r="AFR36" s="707"/>
      <c r="AFS36" s="707"/>
      <c r="AFT36" s="707"/>
      <c r="AFU36" s="707"/>
      <c r="AFV36" s="707"/>
      <c r="AFW36" s="707"/>
      <c r="AFX36" s="707"/>
      <c r="AFY36" s="707"/>
      <c r="AFZ36" s="707"/>
      <c r="AGA36" s="707"/>
      <c r="AGB36" s="707"/>
      <c r="AGC36" s="707"/>
      <c r="AGD36" s="707"/>
      <c r="AGE36" s="707"/>
      <c r="AGF36" s="707"/>
      <c r="AGG36" s="707"/>
      <c r="AGH36" s="707"/>
      <c r="AGI36" s="707"/>
      <c r="AGJ36" s="707"/>
      <c r="AGK36" s="707"/>
      <c r="AGL36" s="707"/>
      <c r="AGM36" s="707"/>
      <c r="AGN36" s="707"/>
      <c r="AGO36" s="707"/>
      <c r="AGP36" s="707"/>
      <c r="AGQ36" s="707"/>
      <c r="AGR36" s="707"/>
      <c r="AGS36" s="707"/>
      <c r="AGT36" s="707"/>
      <c r="AGU36" s="707"/>
      <c r="AGV36" s="707"/>
      <c r="AGW36" s="707"/>
      <c r="AGX36" s="707"/>
      <c r="AGY36" s="707"/>
      <c r="AGZ36" s="707"/>
      <c r="AHA36" s="707"/>
      <c r="AHB36" s="707"/>
      <c r="AHC36" s="707"/>
      <c r="AHD36" s="707"/>
      <c r="AHE36" s="707"/>
      <c r="AHF36" s="707"/>
      <c r="AHG36" s="707"/>
      <c r="AHH36" s="707"/>
      <c r="AHI36" s="707"/>
      <c r="AHJ36" s="707"/>
      <c r="AHK36" s="707"/>
      <c r="AHL36" s="707"/>
      <c r="AHM36" s="707"/>
      <c r="AHN36" s="707"/>
      <c r="AHO36" s="707"/>
      <c r="AHP36" s="707"/>
      <c r="AHQ36" s="707"/>
      <c r="AHR36" s="707"/>
      <c r="AHS36" s="707"/>
      <c r="AHT36" s="707"/>
      <c r="AHU36" s="707"/>
      <c r="AHV36" s="707"/>
      <c r="AHW36" s="707"/>
      <c r="AHX36" s="707"/>
      <c r="AHY36" s="707"/>
      <c r="AHZ36" s="707"/>
      <c r="AIA36" s="707"/>
      <c r="AIB36" s="707"/>
      <c r="AIC36" s="707"/>
      <c r="AID36" s="707"/>
      <c r="AIE36" s="707"/>
      <c r="AIF36" s="707"/>
      <c r="AIG36" s="707"/>
      <c r="AIH36" s="707"/>
      <c r="AII36" s="707"/>
      <c r="AIJ36" s="707"/>
      <c r="AIK36" s="707"/>
      <c r="AIL36" s="707"/>
      <c r="AIM36" s="707"/>
      <c r="AIN36" s="707"/>
      <c r="AIO36" s="707"/>
      <c r="AIP36" s="707"/>
      <c r="AIQ36" s="707"/>
      <c r="AIR36" s="707"/>
      <c r="AIS36" s="707"/>
      <c r="AIT36" s="707"/>
      <c r="AIU36" s="707"/>
      <c r="AIV36" s="707"/>
      <c r="AIW36" s="707"/>
      <c r="AIX36" s="707"/>
      <c r="AIY36" s="707"/>
      <c r="AIZ36" s="707"/>
      <c r="AJA36" s="707"/>
      <c r="AJB36" s="707"/>
      <c r="AJC36" s="707"/>
      <c r="AJD36" s="707"/>
      <c r="AJE36" s="707"/>
      <c r="AJF36" s="707"/>
      <c r="AJG36" s="707"/>
      <c r="AJH36" s="707"/>
      <c r="AJI36" s="707"/>
      <c r="AJJ36" s="707"/>
      <c r="AJK36" s="707"/>
      <c r="AJL36" s="707"/>
      <c r="AJM36" s="707"/>
      <c r="AJN36" s="707"/>
      <c r="AJO36" s="707"/>
      <c r="AJP36" s="707"/>
      <c r="AJQ36" s="707"/>
      <c r="AJR36" s="707"/>
      <c r="AJS36" s="707"/>
      <c r="AJT36" s="707"/>
      <c r="AJU36" s="707"/>
      <c r="AJV36" s="707"/>
      <c r="AJW36" s="707"/>
      <c r="AJX36" s="707"/>
      <c r="AJY36" s="707"/>
      <c r="AJZ36" s="707"/>
      <c r="AKA36" s="707"/>
      <c r="AKB36" s="707"/>
      <c r="AKC36" s="707"/>
      <c r="AKD36" s="707"/>
      <c r="AKE36" s="707"/>
      <c r="AKF36" s="707"/>
      <c r="AKG36" s="707"/>
      <c r="AKH36" s="707"/>
      <c r="AKI36" s="707"/>
      <c r="AKJ36" s="707"/>
      <c r="AKK36" s="707"/>
      <c r="AKL36" s="707"/>
      <c r="AKM36" s="707"/>
      <c r="AKN36" s="707"/>
      <c r="AKO36" s="707"/>
      <c r="AKP36" s="707"/>
      <c r="AKQ36" s="707"/>
      <c r="AKR36" s="707"/>
      <c r="AKS36" s="707"/>
      <c r="AKT36" s="707"/>
      <c r="AKU36" s="707"/>
      <c r="AKV36" s="707"/>
      <c r="AKW36" s="707"/>
      <c r="AKX36" s="707"/>
      <c r="AKY36" s="707"/>
      <c r="AKZ36" s="707"/>
      <c r="ALA36" s="707"/>
      <c r="ALB36" s="707"/>
      <c r="ALC36" s="707"/>
      <c r="ALD36" s="707"/>
      <c r="ALE36" s="707"/>
      <c r="ALF36" s="707"/>
      <c r="ALG36" s="707"/>
      <c r="ALH36" s="707"/>
      <c r="ALI36" s="707"/>
      <c r="ALJ36" s="707"/>
      <c r="ALK36" s="707"/>
      <c r="ALL36" s="707"/>
      <c r="ALM36" s="707"/>
      <c r="ALN36" s="707"/>
      <c r="ALO36" s="707"/>
      <c r="ALP36" s="707"/>
      <c r="ALQ36" s="707"/>
      <c r="ALR36" s="707"/>
      <c r="ALS36" s="707"/>
      <c r="ALT36" s="707"/>
      <c r="ALU36" s="707"/>
      <c r="ALV36" s="707"/>
      <c r="ALW36" s="707"/>
      <c r="ALX36" s="707"/>
      <c r="ALY36" s="707"/>
      <c r="ALZ36" s="707"/>
      <c r="AMA36" s="707"/>
      <c r="AMB36" s="707"/>
      <c r="AMC36" s="707"/>
      <c r="AMD36" s="707"/>
      <c r="AME36" s="707"/>
      <c r="AMF36" s="707"/>
      <c r="AMG36" s="707"/>
      <c r="AMH36" s="707"/>
      <c r="AMI36" s="707"/>
      <c r="AMJ36" s="707"/>
      <c r="AMK36" s="707"/>
      <c r="AML36" s="707"/>
      <c r="AMM36" s="707"/>
      <c r="AMN36" s="707"/>
      <c r="AMO36" s="707"/>
      <c r="AMP36" s="707"/>
      <c r="AMQ36" s="707"/>
      <c r="AMR36" s="707"/>
      <c r="AMS36" s="707"/>
      <c r="AMT36" s="707"/>
      <c r="AMU36" s="707"/>
      <c r="AMV36" s="707"/>
      <c r="AMW36" s="707"/>
      <c r="AMX36" s="707"/>
      <c r="AMY36" s="707"/>
      <c r="AMZ36" s="707"/>
      <c r="ANA36" s="707"/>
      <c r="ANB36" s="707"/>
      <c r="ANC36" s="707"/>
      <c r="AND36" s="707"/>
      <c r="ANE36" s="707"/>
      <c r="ANF36" s="707"/>
      <c r="ANG36" s="707"/>
      <c r="ANH36" s="707"/>
      <c r="ANI36" s="707"/>
      <c r="ANJ36" s="707"/>
      <c r="ANK36" s="707"/>
      <c r="ANL36" s="707"/>
      <c r="ANM36" s="707"/>
      <c r="ANN36" s="707"/>
      <c r="ANO36" s="707"/>
      <c r="ANP36" s="707"/>
      <c r="ANQ36" s="707"/>
      <c r="ANR36" s="707"/>
      <c r="ANS36" s="707"/>
      <c r="ANT36" s="707"/>
      <c r="ANU36" s="707"/>
      <c r="ANV36" s="707"/>
      <c r="ANW36" s="707"/>
      <c r="ANX36" s="707"/>
      <c r="ANY36" s="707"/>
      <c r="ANZ36" s="707"/>
      <c r="AOA36" s="707"/>
      <c r="AOB36" s="707"/>
      <c r="AOC36" s="707"/>
      <c r="AOD36" s="707"/>
      <c r="AOE36" s="707"/>
      <c r="AOF36" s="707"/>
      <c r="AOG36" s="707"/>
      <c r="AOH36" s="707"/>
      <c r="AOI36" s="707"/>
      <c r="AOJ36" s="707"/>
      <c r="AOK36" s="707"/>
      <c r="AOL36" s="707"/>
      <c r="AOM36" s="707"/>
      <c r="AON36" s="707"/>
      <c r="AOO36" s="707"/>
      <c r="AOP36" s="707"/>
      <c r="AOQ36" s="707"/>
      <c r="AOR36" s="707"/>
      <c r="AOS36" s="707"/>
      <c r="AOT36" s="707"/>
      <c r="AOU36" s="707"/>
      <c r="AOV36" s="707"/>
      <c r="AOW36" s="707"/>
      <c r="AOX36" s="707"/>
      <c r="AOY36" s="707"/>
      <c r="AOZ36" s="707"/>
      <c r="APA36" s="707"/>
      <c r="APB36" s="707"/>
      <c r="APC36" s="707"/>
      <c r="APD36" s="707"/>
      <c r="APE36" s="707"/>
      <c r="APF36" s="707"/>
      <c r="APG36" s="707"/>
      <c r="APH36" s="707"/>
      <c r="API36" s="707"/>
      <c r="APJ36" s="707"/>
      <c r="APK36" s="707"/>
      <c r="APL36" s="707"/>
      <c r="APM36" s="707"/>
      <c r="APN36" s="707"/>
      <c r="APO36" s="707"/>
      <c r="APP36" s="707"/>
      <c r="APQ36" s="707"/>
      <c r="APR36" s="707"/>
      <c r="APS36" s="707"/>
      <c r="APT36" s="707"/>
      <c r="APU36" s="707"/>
      <c r="APV36" s="707"/>
      <c r="APW36" s="707"/>
      <c r="APX36" s="707"/>
      <c r="APY36" s="707"/>
      <c r="APZ36" s="707"/>
      <c r="AQA36" s="707"/>
      <c r="AQB36" s="707"/>
      <c r="AQC36" s="707"/>
      <c r="AQD36" s="707"/>
      <c r="AQE36" s="707"/>
      <c r="AQF36" s="707"/>
      <c r="AQG36" s="707"/>
      <c r="AQH36" s="707"/>
      <c r="AQI36" s="707"/>
      <c r="AQJ36" s="707"/>
      <c r="AQK36" s="707"/>
      <c r="AQL36" s="707"/>
      <c r="AQM36" s="707"/>
      <c r="AQN36" s="707"/>
      <c r="AQO36" s="707"/>
      <c r="AQP36" s="707"/>
      <c r="AQQ36" s="707"/>
      <c r="AQR36" s="707"/>
      <c r="AQS36" s="707"/>
      <c r="AQT36" s="707"/>
      <c r="AQU36" s="707"/>
      <c r="AQV36" s="707"/>
      <c r="AQW36" s="707"/>
      <c r="AQX36" s="707"/>
      <c r="AQY36" s="707"/>
      <c r="AQZ36" s="707"/>
      <c r="ARA36" s="707"/>
      <c r="ARB36" s="707"/>
      <c r="ARC36" s="707"/>
      <c r="ARD36" s="707"/>
      <c r="ARE36" s="707"/>
      <c r="ARF36" s="707"/>
      <c r="ARG36" s="707"/>
      <c r="ARH36" s="707"/>
      <c r="ARI36" s="707"/>
      <c r="ARJ36" s="707"/>
      <c r="ARK36" s="707"/>
      <c r="ARL36" s="707"/>
      <c r="ARM36" s="707"/>
      <c r="ARN36" s="707"/>
      <c r="ARO36" s="707"/>
      <c r="ARP36" s="707"/>
      <c r="ARQ36" s="707"/>
      <c r="ARR36" s="707"/>
      <c r="ARS36" s="707"/>
      <c r="ART36" s="707"/>
      <c r="ARU36" s="707"/>
      <c r="ARV36" s="707"/>
      <c r="ARW36" s="707"/>
      <c r="ARX36" s="707"/>
      <c r="ARY36" s="707"/>
      <c r="ARZ36" s="707"/>
      <c r="ASA36" s="707"/>
      <c r="ASB36" s="707"/>
      <c r="ASC36" s="707"/>
      <c r="ASD36" s="707"/>
      <c r="ASE36" s="707"/>
      <c r="ASF36" s="707"/>
      <c r="ASG36" s="707"/>
      <c r="ASH36" s="707"/>
      <c r="ASI36" s="707"/>
      <c r="ASJ36" s="707"/>
      <c r="ASK36" s="707"/>
      <c r="ASL36" s="707"/>
      <c r="ASM36" s="707"/>
      <c r="ASN36" s="707"/>
      <c r="ASO36" s="707"/>
      <c r="ASP36" s="707"/>
      <c r="ASQ36" s="707"/>
      <c r="ASR36" s="707"/>
      <c r="ASS36" s="707"/>
      <c r="AST36" s="707"/>
      <c r="ASU36" s="707"/>
      <c r="ASV36" s="707"/>
      <c r="ASW36" s="707"/>
      <c r="ASX36" s="707"/>
      <c r="ASY36" s="707"/>
      <c r="ASZ36" s="707"/>
      <c r="ATA36" s="707"/>
      <c r="ATB36" s="707"/>
      <c r="ATC36" s="707"/>
      <c r="ATD36" s="707"/>
      <c r="ATE36" s="707"/>
      <c r="ATF36" s="707"/>
      <c r="ATG36" s="707"/>
      <c r="ATH36" s="707"/>
      <c r="ATI36" s="707"/>
      <c r="ATJ36" s="707"/>
      <c r="ATK36" s="707"/>
      <c r="ATL36" s="707"/>
      <c r="ATM36" s="707"/>
      <c r="ATN36" s="707"/>
      <c r="ATO36" s="707"/>
      <c r="ATP36" s="707"/>
      <c r="ATQ36" s="707"/>
      <c r="ATR36" s="707"/>
      <c r="ATS36" s="707"/>
      <c r="ATT36" s="707"/>
      <c r="ATU36" s="707"/>
      <c r="ATV36" s="707"/>
      <c r="ATW36" s="707"/>
      <c r="ATX36" s="707"/>
      <c r="ATY36" s="707"/>
      <c r="ATZ36" s="707"/>
      <c r="AUA36" s="707"/>
      <c r="AUB36" s="707"/>
      <c r="AUC36" s="707"/>
      <c r="AUD36" s="707"/>
      <c r="AUE36" s="707"/>
      <c r="AUF36" s="707"/>
      <c r="AUG36" s="707"/>
      <c r="AUH36" s="707"/>
      <c r="AUI36" s="707"/>
      <c r="AUJ36" s="707"/>
      <c r="AUK36" s="707"/>
      <c r="AUL36" s="707"/>
      <c r="AUM36" s="707"/>
      <c r="AUN36" s="707"/>
      <c r="AUO36" s="707"/>
      <c r="AUP36" s="707"/>
      <c r="AUQ36" s="707"/>
      <c r="AUR36" s="707"/>
      <c r="AUS36" s="707"/>
      <c r="AUT36" s="707"/>
      <c r="AUU36" s="707"/>
      <c r="AUV36" s="707"/>
      <c r="AUW36" s="707"/>
      <c r="AUX36" s="707"/>
      <c r="AUY36" s="707"/>
      <c r="AUZ36" s="707"/>
      <c r="AVA36" s="707"/>
      <c r="AVB36" s="707"/>
      <c r="AVC36" s="707"/>
      <c r="AVD36" s="707"/>
      <c r="AVE36" s="707"/>
      <c r="AVF36" s="707"/>
      <c r="AVG36" s="707"/>
      <c r="AVH36" s="707"/>
      <c r="AVI36" s="707"/>
      <c r="AVJ36" s="707"/>
      <c r="AVK36" s="707"/>
      <c r="AVL36" s="707"/>
      <c r="AVM36" s="707"/>
      <c r="AVN36" s="707"/>
      <c r="AVO36" s="707"/>
      <c r="AVP36" s="707"/>
      <c r="AVQ36" s="707"/>
      <c r="AVR36" s="707"/>
      <c r="AVS36" s="707"/>
      <c r="AVT36" s="707"/>
      <c r="AVU36" s="707"/>
      <c r="AVV36" s="707"/>
      <c r="AVW36" s="707"/>
      <c r="AVX36" s="707"/>
      <c r="AVY36" s="707"/>
      <c r="AVZ36" s="707"/>
      <c r="AWA36" s="707"/>
      <c r="AWB36" s="707"/>
      <c r="AWC36" s="707"/>
      <c r="AWD36" s="707"/>
      <c r="AWE36" s="707"/>
      <c r="AWF36" s="707"/>
      <c r="AWG36" s="707"/>
      <c r="AWH36" s="707"/>
      <c r="AWI36" s="707"/>
      <c r="AWJ36" s="707"/>
      <c r="AWK36" s="707"/>
      <c r="AWL36" s="707"/>
      <c r="AWM36" s="707"/>
      <c r="AWN36" s="707"/>
      <c r="AWO36" s="707"/>
      <c r="AWP36" s="707"/>
      <c r="AWQ36" s="707"/>
      <c r="AWR36" s="707"/>
      <c r="AWS36" s="707"/>
      <c r="AWT36" s="707"/>
      <c r="AWU36" s="707"/>
      <c r="AWV36" s="707"/>
      <c r="AWW36" s="707"/>
      <c r="AWX36" s="707"/>
      <c r="AWY36" s="707"/>
      <c r="AWZ36" s="707"/>
      <c r="AXA36" s="707"/>
      <c r="AXB36" s="707"/>
      <c r="AXC36" s="707"/>
      <c r="AXD36" s="707"/>
      <c r="AXE36" s="707"/>
      <c r="AXF36" s="707"/>
      <c r="AXG36" s="707"/>
      <c r="AXH36" s="707"/>
      <c r="AXI36" s="707"/>
      <c r="AXJ36" s="707"/>
      <c r="AXK36" s="707"/>
      <c r="AXL36" s="707"/>
      <c r="AXM36" s="707"/>
      <c r="AXN36" s="707"/>
      <c r="AXO36" s="707"/>
      <c r="AXP36" s="707"/>
      <c r="AXQ36" s="707"/>
      <c r="AXR36" s="707"/>
      <c r="AXS36" s="707"/>
      <c r="AXT36" s="707"/>
      <c r="AXU36" s="707"/>
      <c r="AXV36" s="707"/>
      <c r="AXW36" s="707"/>
      <c r="AXX36" s="707"/>
      <c r="AXY36" s="707"/>
      <c r="AXZ36" s="707"/>
      <c r="AYA36" s="707"/>
      <c r="AYB36" s="707"/>
      <c r="AYC36" s="707"/>
      <c r="AYD36" s="707"/>
      <c r="AYE36" s="707"/>
      <c r="AYF36" s="707"/>
      <c r="AYG36" s="707"/>
      <c r="AYH36" s="707"/>
      <c r="AYI36" s="707"/>
      <c r="AYJ36" s="707"/>
      <c r="AYK36" s="707"/>
      <c r="AYL36" s="707"/>
      <c r="AYM36" s="707"/>
      <c r="AYN36" s="707"/>
      <c r="AYO36" s="707"/>
      <c r="AYP36" s="707"/>
      <c r="AYQ36" s="707"/>
      <c r="AYR36" s="707"/>
      <c r="AYS36" s="707"/>
      <c r="AYT36" s="707"/>
      <c r="AYU36" s="707"/>
      <c r="AYV36" s="707"/>
      <c r="AYW36" s="707"/>
      <c r="AYX36" s="707"/>
      <c r="AYY36" s="707"/>
      <c r="AYZ36" s="707"/>
      <c r="AZA36" s="707"/>
      <c r="AZB36" s="707"/>
      <c r="AZC36" s="707"/>
      <c r="AZD36" s="707"/>
      <c r="AZE36" s="707"/>
      <c r="AZF36" s="707"/>
      <c r="AZG36" s="707"/>
      <c r="AZH36" s="707"/>
      <c r="AZI36" s="707"/>
      <c r="AZJ36" s="707"/>
      <c r="AZK36" s="707"/>
      <c r="AZL36" s="707"/>
      <c r="AZM36" s="707"/>
      <c r="AZN36" s="707"/>
      <c r="AZO36" s="707"/>
      <c r="AZP36" s="707"/>
      <c r="AZQ36" s="707"/>
      <c r="AZR36" s="707"/>
      <c r="AZS36" s="707"/>
      <c r="AZT36" s="707"/>
      <c r="AZU36" s="707"/>
      <c r="AZV36" s="707"/>
      <c r="AZW36" s="707"/>
      <c r="AZX36" s="707"/>
      <c r="AZY36" s="707"/>
      <c r="AZZ36" s="707"/>
      <c r="BAA36" s="707"/>
      <c r="BAB36" s="707"/>
      <c r="BAC36" s="707"/>
      <c r="BAD36" s="707"/>
      <c r="BAE36" s="707"/>
      <c r="BAF36" s="707"/>
      <c r="BAG36" s="707"/>
      <c r="BAH36" s="707"/>
      <c r="BAI36" s="707"/>
      <c r="BAJ36" s="707"/>
      <c r="BAK36" s="707"/>
      <c r="BAL36" s="707"/>
      <c r="BAM36" s="707"/>
      <c r="BAN36" s="707"/>
      <c r="BAO36" s="707"/>
      <c r="BAP36" s="707"/>
      <c r="BAQ36" s="707"/>
      <c r="BAR36" s="707"/>
      <c r="BAS36" s="707"/>
      <c r="BAT36" s="707"/>
      <c r="BAU36" s="707"/>
      <c r="BAV36" s="707"/>
      <c r="BAW36" s="707"/>
      <c r="BAX36" s="707"/>
      <c r="BAY36" s="707"/>
      <c r="BAZ36" s="707"/>
      <c r="BBA36" s="707"/>
      <c r="BBB36" s="707"/>
      <c r="BBC36" s="707"/>
      <c r="BBD36" s="707"/>
      <c r="BBE36" s="707"/>
      <c r="BBF36" s="707"/>
      <c r="BBG36" s="707"/>
      <c r="BBH36" s="707"/>
      <c r="BBI36" s="707"/>
      <c r="BBJ36" s="707"/>
      <c r="BBK36" s="707"/>
      <c r="BBL36" s="707"/>
      <c r="BBM36" s="707"/>
      <c r="BBN36" s="707"/>
      <c r="BBO36" s="707"/>
      <c r="BBP36" s="707"/>
      <c r="BBQ36" s="707"/>
      <c r="BBR36" s="707"/>
      <c r="BBS36" s="707"/>
      <c r="BBT36" s="707"/>
      <c r="BBU36" s="707"/>
      <c r="BBV36" s="707"/>
      <c r="BBW36" s="707"/>
      <c r="BBX36" s="707"/>
      <c r="BBY36" s="707"/>
      <c r="BBZ36" s="707"/>
      <c r="BCA36" s="707"/>
      <c r="BCB36" s="707"/>
      <c r="BCC36" s="707"/>
      <c r="BCD36" s="707"/>
      <c r="BCE36" s="707"/>
      <c r="BCF36" s="707"/>
      <c r="BCG36" s="707"/>
      <c r="BCH36" s="707"/>
      <c r="BCI36" s="707"/>
      <c r="BCJ36" s="707"/>
      <c r="BCK36" s="707"/>
      <c r="BCL36" s="707"/>
      <c r="BCM36" s="707"/>
      <c r="BCN36" s="707"/>
      <c r="BCO36" s="707"/>
      <c r="BCP36" s="707"/>
      <c r="BCQ36" s="707"/>
      <c r="BCR36" s="707"/>
      <c r="BCS36" s="707"/>
      <c r="BCT36" s="707"/>
      <c r="BCU36" s="707"/>
      <c r="BCV36" s="707"/>
      <c r="BCW36" s="707"/>
      <c r="BCX36" s="707"/>
      <c r="BCY36" s="707"/>
      <c r="BCZ36" s="707"/>
      <c r="BDA36" s="707"/>
      <c r="BDB36" s="707"/>
      <c r="BDC36" s="707"/>
      <c r="BDD36" s="707"/>
      <c r="BDE36" s="707"/>
      <c r="BDF36" s="707"/>
      <c r="BDG36" s="707"/>
      <c r="BDH36" s="707"/>
      <c r="BDI36" s="707"/>
      <c r="BDJ36" s="707"/>
      <c r="BDK36" s="707"/>
      <c r="BDL36" s="707"/>
      <c r="BDM36" s="707"/>
      <c r="BDN36" s="707"/>
      <c r="BDO36" s="707"/>
      <c r="BDP36" s="707"/>
      <c r="BDQ36" s="707"/>
      <c r="BDR36" s="707"/>
      <c r="BDS36" s="707"/>
      <c r="BDT36" s="707"/>
      <c r="BDU36" s="707"/>
      <c r="BDV36" s="707"/>
      <c r="BDW36" s="707"/>
      <c r="BDX36" s="707"/>
      <c r="BDY36" s="707"/>
      <c r="BDZ36" s="707"/>
      <c r="BEA36" s="707"/>
      <c r="BEB36" s="707"/>
      <c r="BEC36" s="707"/>
      <c r="BED36" s="707"/>
      <c r="BEE36" s="707"/>
      <c r="BEF36" s="707"/>
      <c r="BEG36" s="707"/>
      <c r="BEH36" s="707"/>
      <c r="BEI36" s="707"/>
      <c r="BEJ36" s="707"/>
      <c r="BEK36" s="707"/>
      <c r="BEL36" s="707"/>
      <c r="BEM36" s="707"/>
      <c r="BEN36" s="707"/>
      <c r="BEO36" s="707"/>
      <c r="BEP36" s="707"/>
      <c r="BEQ36" s="707"/>
      <c r="BER36" s="707"/>
      <c r="BES36" s="707"/>
      <c r="BET36" s="707"/>
      <c r="BEU36" s="707"/>
      <c r="BEV36" s="707"/>
      <c r="BEW36" s="707"/>
      <c r="BEX36" s="707"/>
      <c r="BEY36" s="707"/>
      <c r="BEZ36" s="707"/>
      <c r="BFA36" s="707"/>
      <c r="BFB36" s="707"/>
      <c r="BFC36" s="707"/>
      <c r="BFD36" s="707"/>
      <c r="BFE36" s="707"/>
      <c r="BFF36" s="707"/>
      <c r="BFG36" s="707"/>
      <c r="BFH36" s="707"/>
      <c r="BFI36" s="707"/>
      <c r="BFJ36" s="707"/>
      <c r="BFK36" s="707"/>
      <c r="BFL36" s="707"/>
      <c r="BFM36" s="707"/>
      <c r="BFN36" s="707"/>
      <c r="BFO36" s="707"/>
      <c r="BFP36" s="707"/>
      <c r="BFQ36" s="707"/>
      <c r="BFR36" s="707"/>
      <c r="BFS36" s="707"/>
      <c r="BFT36" s="707"/>
      <c r="BFU36" s="707"/>
      <c r="BFV36" s="707"/>
      <c r="BFW36" s="707"/>
      <c r="BFX36" s="707"/>
      <c r="BFY36" s="707"/>
      <c r="BFZ36" s="707"/>
      <c r="BGA36" s="707"/>
      <c r="BGB36" s="707"/>
      <c r="BGC36" s="707"/>
      <c r="BGD36" s="707"/>
      <c r="BGE36" s="707"/>
      <c r="BGF36" s="707"/>
      <c r="BGG36" s="707"/>
      <c r="BGH36" s="707"/>
      <c r="BGI36" s="707"/>
      <c r="BGJ36" s="707"/>
      <c r="BGK36" s="707"/>
      <c r="BGL36" s="707"/>
      <c r="BGM36" s="707"/>
      <c r="BGN36" s="707"/>
      <c r="BGO36" s="707"/>
      <c r="BGP36" s="707"/>
      <c r="BGQ36" s="707"/>
      <c r="BGR36" s="707"/>
      <c r="BGS36" s="707"/>
      <c r="BGT36" s="707"/>
      <c r="BGU36" s="707"/>
      <c r="BGV36" s="707"/>
      <c r="BGW36" s="707"/>
      <c r="BGX36" s="707"/>
      <c r="BGY36" s="707"/>
      <c r="BGZ36" s="707"/>
      <c r="BHA36" s="707"/>
      <c r="BHB36" s="707"/>
      <c r="BHC36" s="707"/>
      <c r="BHD36" s="707"/>
      <c r="BHE36" s="707"/>
      <c r="BHF36" s="707"/>
      <c r="BHG36" s="707"/>
      <c r="BHH36" s="707"/>
      <c r="BHI36" s="707"/>
      <c r="BHJ36" s="707"/>
      <c r="BHK36" s="707"/>
      <c r="BHL36" s="707"/>
      <c r="BHM36" s="707"/>
      <c r="BHN36" s="707"/>
      <c r="BHO36" s="707"/>
      <c r="BHP36" s="707"/>
      <c r="BHQ36" s="707"/>
      <c r="BHR36" s="707"/>
      <c r="BHS36" s="707"/>
      <c r="BHT36" s="707"/>
      <c r="BHU36" s="707"/>
      <c r="BHV36" s="707"/>
      <c r="BHW36" s="707"/>
      <c r="BHX36" s="707"/>
      <c r="BHY36" s="707"/>
      <c r="BHZ36" s="707"/>
      <c r="BIA36" s="707"/>
      <c r="BIB36" s="707"/>
      <c r="BIC36" s="707"/>
      <c r="BID36" s="707"/>
      <c r="BIE36" s="707"/>
      <c r="BIF36" s="707"/>
      <c r="BIG36" s="707"/>
      <c r="BIH36" s="707"/>
      <c r="BII36" s="707"/>
      <c r="BIJ36" s="707"/>
      <c r="BIK36" s="707"/>
      <c r="BIL36" s="707"/>
      <c r="BIM36" s="707"/>
      <c r="BIN36" s="707"/>
      <c r="BIO36" s="707"/>
      <c r="BIP36" s="707"/>
      <c r="BIQ36" s="707"/>
      <c r="BIR36" s="707"/>
      <c r="BIS36" s="707"/>
      <c r="BIT36" s="707"/>
      <c r="BIU36" s="707"/>
      <c r="BIV36" s="707"/>
      <c r="BIW36" s="707"/>
      <c r="BIX36" s="707"/>
      <c r="BIY36" s="707"/>
      <c r="BIZ36" s="707"/>
      <c r="BJA36" s="707"/>
      <c r="BJB36" s="707"/>
      <c r="BJC36" s="707"/>
      <c r="BJD36" s="707"/>
      <c r="BJE36" s="707"/>
      <c r="BJF36" s="707"/>
      <c r="BJG36" s="707"/>
      <c r="BJH36" s="707"/>
      <c r="BJI36" s="707"/>
      <c r="BJJ36" s="707"/>
      <c r="BJK36" s="707"/>
      <c r="BJL36" s="707"/>
      <c r="BJM36" s="707"/>
      <c r="BJN36" s="707"/>
      <c r="BJO36" s="707"/>
      <c r="BJP36" s="707"/>
      <c r="BJQ36" s="707"/>
      <c r="BJR36" s="707"/>
      <c r="BJS36" s="707"/>
      <c r="BJT36" s="707"/>
      <c r="BJU36" s="707"/>
      <c r="BJV36" s="707"/>
      <c r="BJW36" s="707"/>
      <c r="BJX36" s="707"/>
      <c r="BJY36" s="707"/>
      <c r="BJZ36" s="707"/>
      <c r="BKA36" s="707"/>
      <c r="BKB36" s="707"/>
      <c r="BKC36" s="707"/>
      <c r="BKD36" s="707"/>
      <c r="BKE36" s="707"/>
      <c r="BKF36" s="707"/>
      <c r="BKG36" s="707"/>
      <c r="BKH36" s="707"/>
      <c r="BKI36" s="707"/>
      <c r="BKJ36" s="707"/>
      <c r="BKK36" s="707"/>
      <c r="BKL36" s="707"/>
      <c r="BKM36" s="707"/>
      <c r="BKN36" s="707"/>
      <c r="BKO36" s="707"/>
      <c r="BKP36" s="707"/>
      <c r="BKQ36" s="707"/>
      <c r="BKR36" s="707"/>
      <c r="BKS36" s="707"/>
      <c r="BKT36" s="707"/>
      <c r="BKU36" s="707"/>
      <c r="BKV36" s="707"/>
      <c r="BKW36" s="707"/>
      <c r="BKX36" s="707"/>
      <c r="BKY36" s="707"/>
      <c r="BKZ36" s="707"/>
      <c r="BLA36" s="707"/>
      <c r="BLB36" s="707"/>
      <c r="BLC36" s="707"/>
      <c r="BLD36" s="707"/>
      <c r="BLE36" s="707"/>
      <c r="BLF36" s="707"/>
      <c r="BLG36" s="707"/>
      <c r="BLH36" s="707"/>
      <c r="BLI36" s="707"/>
      <c r="BLJ36" s="707"/>
      <c r="BLK36" s="707"/>
      <c r="BLL36" s="707"/>
      <c r="BLM36" s="707"/>
      <c r="BLN36" s="707"/>
      <c r="BLO36" s="707"/>
      <c r="BLP36" s="707"/>
      <c r="BLQ36" s="707"/>
      <c r="BLR36" s="707"/>
      <c r="BLS36" s="707"/>
      <c r="BLT36" s="707"/>
      <c r="BLU36" s="707"/>
      <c r="BLV36" s="707"/>
      <c r="BLW36" s="707"/>
      <c r="BLX36" s="707"/>
      <c r="BLY36" s="707"/>
      <c r="BLZ36" s="707"/>
      <c r="BMA36" s="707"/>
      <c r="BMB36" s="707"/>
      <c r="BMC36" s="707"/>
      <c r="BMD36" s="707"/>
      <c r="BME36" s="707"/>
      <c r="BMF36" s="707"/>
      <c r="BMG36" s="707"/>
      <c r="BMH36" s="707"/>
      <c r="BMI36" s="707"/>
      <c r="BMJ36" s="707"/>
      <c r="BMK36" s="707"/>
      <c r="BML36" s="707"/>
      <c r="BMM36" s="707"/>
      <c r="BMN36" s="707"/>
      <c r="BMO36" s="707"/>
      <c r="BMP36" s="707"/>
      <c r="BMQ36" s="707"/>
      <c r="BMR36" s="707"/>
      <c r="BMS36" s="707"/>
      <c r="BMT36" s="707"/>
      <c r="BMU36" s="707"/>
      <c r="BMV36" s="707"/>
      <c r="BMW36" s="707"/>
      <c r="BMX36" s="707"/>
      <c r="BMY36" s="707"/>
      <c r="BMZ36" s="707"/>
      <c r="BNA36" s="707"/>
      <c r="BNB36" s="707"/>
      <c r="BNC36" s="707"/>
      <c r="BND36" s="707"/>
      <c r="BNE36" s="707"/>
      <c r="BNF36" s="707"/>
      <c r="BNG36" s="707"/>
      <c r="BNH36" s="707"/>
      <c r="BNI36" s="707"/>
      <c r="BNJ36" s="707"/>
      <c r="BNK36" s="707"/>
      <c r="BNL36" s="707"/>
      <c r="BNM36" s="707"/>
      <c r="BNN36" s="707"/>
      <c r="BNO36" s="707"/>
      <c r="BNP36" s="707"/>
      <c r="BNQ36" s="707"/>
      <c r="BNR36" s="707"/>
      <c r="BNS36" s="707"/>
      <c r="BNT36" s="707"/>
      <c r="BNU36" s="707"/>
      <c r="BNV36" s="707"/>
      <c r="BNW36" s="707"/>
      <c r="BNX36" s="707"/>
      <c r="BNY36" s="707"/>
      <c r="BNZ36" s="707"/>
      <c r="BOA36" s="707"/>
      <c r="BOB36" s="707"/>
      <c r="BOC36" s="707"/>
      <c r="BOD36" s="707"/>
      <c r="BOE36" s="707"/>
      <c r="BOF36" s="707"/>
      <c r="BOG36" s="707"/>
      <c r="BOH36" s="707"/>
      <c r="BOI36" s="707"/>
      <c r="BOJ36" s="707"/>
      <c r="BOK36" s="707"/>
      <c r="BOL36" s="707"/>
      <c r="BOM36" s="707"/>
      <c r="BON36" s="707"/>
      <c r="BOO36" s="707"/>
      <c r="BOP36" s="707"/>
      <c r="BOQ36" s="707"/>
      <c r="BOR36" s="707"/>
      <c r="BOS36" s="707"/>
      <c r="BOT36" s="707"/>
      <c r="BOU36" s="707"/>
      <c r="BOV36" s="707"/>
      <c r="BOW36" s="707"/>
      <c r="BOX36" s="707"/>
      <c r="BOY36" s="707"/>
      <c r="BOZ36" s="707"/>
      <c r="BPA36" s="707"/>
      <c r="BPB36" s="707"/>
      <c r="BPC36" s="707"/>
      <c r="BPD36" s="707"/>
      <c r="BPE36" s="707"/>
      <c r="BPF36" s="707"/>
      <c r="BPG36" s="707"/>
      <c r="BPH36" s="707"/>
      <c r="BPI36" s="707"/>
      <c r="BPJ36" s="707"/>
      <c r="BPK36" s="707"/>
      <c r="BPL36" s="707"/>
      <c r="BPM36" s="707"/>
      <c r="BPN36" s="707"/>
      <c r="BPO36" s="707"/>
      <c r="BPP36" s="707"/>
      <c r="BPQ36" s="707"/>
      <c r="BPR36" s="707"/>
      <c r="BPS36" s="707"/>
      <c r="BPT36" s="707"/>
      <c r="BPU36" s="707"/>
      <c r="BPV36" s="707"/>
      <c r="BPW36" s="707"/>
      <c r="BPX36" s="707"/>
      <c r="BPY36" s="707"/>
      <c r="BPZ36" s="707"/>
      <c r="BQA36" s="707"/>
      <c r="BQB36" s="707"/>
      <c r="BQC36" s="707"/>
      <c r="BQD36" s="707"/>
      <c r="BQE36" s="707"/>
      <c r="BQF36" s="707"/>
      <c r="BQG36" s="707"/>
      <c r="BQH36" s="707"/>
      <c r="BQI36" s="707"/>
      <c r="BQJ36" s="707"/>
      <c r="BQK36" s="707"/>
      <c r="BQL36" s="707"/>
      <c r="BQM36" s="707"/>
      <c r="BQN36" s="707"/>
      <c r="BQO36" s="707"/>
      <c r="BQP36" s="707"/>
      <c r="BQQ36" s="707"/>
      <c r="BQR36" s="707"/>
      <c r="BQS36" s="707"/>
      <c r="BQT36" s="707"/>
      <c r="BQU36" s="707"/>
      <c r="BQV36" s="707"/>
      <c r="BQW36" s="707"/>
      <c r="BQX36" s="707"/>
      <c r="BQY36" s="707"/>
      <c r="BQZ36" s="707"/>
      <c r="BRA36" s="707"/>
      <c r="BRB36" s="707"/>
      <c r="BRC36" s="707"/>
      <c r="BRD36" s="707"/>
      <c r="BRE36" s="707"/>
      <c r="BRF36" s="707"/>
      <c r="BRG36" s="707"/>
      <c r="BRH36" s="707"/>
      <c r="BRI36" s="707"/>
      <c r="BRJ36" s="707"/>
      <c r="BRK36" s="707"/>
      <c r="BRL36" s="707"/>
      <c r="BRM36" s="707"/>
      <c r="BRN36" s="707"/>
      <c r="BRO36" s="707"/>
      <c r="BRP36" s="707"/>
      <c r="BRQ36" s="707"/>
      <c r="BRR36" s="707"/>
      <c r="BRS36" s="707"/>
      <c r="BRT36" s="707"/>
      <c r="BRU36" s="707"/>
      <c r="BRV36" s="707"/>
      <c r="BRW36" s="707"/>
      <c r="BRX36" s="707"/>
      <c r="BRY36" s="707"/>
      <c r="BRZ36" s="707"/>
      <c r="BSA36" s="707"/>
      <c r="BSB36" s="707"/>
      <c r="BSC36" s="707"/>
      <c r="BSD36" s="707"/>
      <c r="BSE36" s="707"/>
      <c r="BSF36" s="707"/>
      <c r="BSG36" s="707"/>
      <c r="BSH36" s="707"/>
      <c r="BSI36" s="707"/>
      <c r="BSJ36" s="707"/>
      <c r="BSK36" s="707"/>
      <c r="BSL36" s="707"/>
      <c r="BSM36" s="707"/>
      <c r="BSN36" s="707"/>
      <c r="BSO36" s="707"/>
      <c r="BSP36" s="707"/>
      <c r="BSQ36" s="707"/>
      <c r="BSR36" s="707"/>
      <c r="BSS36" s="707"/>
      <c r="BST36" s="707"/>
      <c r="BSU36" s="707"/>
      <c r="BSV36" s="707"/>
      <c r="BSW36" s="707"/>
      <c r="BSX36" s="707"/>
      <c r="BSY36" s="707"/>
      <c r="BSZ36" s="707"/>
      <c r="BTA36" s="707"/>
      <c r="BTB36" s="707"/>
      <c r="BTC36" s="707"/>
      <c r="BTD36" s="707"/>
      <c r="BTE36" s="707"/>
      <c r="BTF36" s="707"/>
      <c r="BTG36" s="707"/>
      <c r="BTH36" s="707"/>
      <c r="BTI36" s="707"/>
      <c r="BTJ36" s="707"/>
      <c r="BTK36" s="707"/>
      <c r="BTL36" s="707"/>
      <c r="BTM36" s="707"/>
      <c r="BTN36" s="707"/>
      <c r="BTO36" s="707"/>
      <c r="BTP36" s="707"/>
      <c r="BTQ36" s="707"/>
      <c r="BTR36" s="707"/>
      <c r="BTS36" s="707"/>
      <c r="BTT36" s="707"/>
      <c r="BTU36" s="707"/>
      <c r="BTV36" s="707"/>
      <c r="BTW36" s="707"/>
      <c r="BTX36" s="707"/>
      <c r="BTY36" s="707"/>
      <c r="BTZ36" s="707"/>
      <c r="BUA36" s="707"/>
      <c r="BUB36" s="707"/>
      <c r="BUC36" s="707"/>
      <c r="BUD36" s="707"/>
      <c r="BUE36" s="707"/>
      <c r="BUF36" s="707"/>
      <c r="BUG36" s="707"/>
      <c r="BUH36" s="707"/>
      <c r="BUI36" s="707"/>
      <c r="BUJ36" s="707"/>
      <c r="BUK36" s="707"/>
      <c r="BUL36" s="707"/>
      <c r="BUM36" s="707"/>
      <c r="BUN36" s="707"/>
      <c r="BUO36" s="707"/>
      <c r="BUP36" s="707"/>
      <c r="BUQ36" s="707"/>
      <c r="BUR36" s="707"/>
      <c r="BUS36" s="707"/>
      <c r="BUT36" s="707"/>
      <c r="BUU36" s="707"/>
      <c r="BUV36" s="707"/>
      <c r="BUW36" s="707"/>
      <c r="BUX36" s="707"/>
      <c r="BUY36" s="707"/>
      <c r="BUZ36" s="707"/>
      <c r="BVA36" s="707"/>
      <c r="BVB36" s="707"/>
      <c r="BVC36" s="707"/>
      <c r="BVD36" s="707"/>
      <c r="BVE36" s="707"/>
      <c r="BVF36" s="707"/>
      <c r="BVG36" s="707"/>
      <c r="BVH36" s="707"/>
      <c r="BVI36" s="707"/>
      <c r="BVJ36" s="707"/>
      <c r="BVK36" s="707"/>
      <c r="BVL36" s="707"/>
      <c r="BVM36" s="707"/>
      <c r="BVN36" s="707"/>
      <c r="BVO36" s="707"/>
      <c r="BVP36" s="707"/>
      <c r="BVQ36" s="707"/>
      <c r="BVR36" s="707"/>
      <c r="BVS36" s="707"/>
      <c r="BVT36" s="707"/>
      <c r="BVU36" s="707"/>
      <c r="BVV36" s="707"/>
      <c r="BVW36" s="707"/>
      <c r="BVX36" s="707"/>
      <c r="BVY36" s="707"/>
      <c r="BVZ36" s="707"/>
      <c r="BWA36" s="707"/>
      <c r="BWB36" s="707"/>
      <c r="BWC36" s="707"/>
      <c r="BWD36" s="707"/>
      <c r="BWE36" s="707"/>
      <c r="BWF36" s="707"/>
      <c r="BWG36" s="707"/>
      <c r="BWH36" s="707"/>
      <c r="BWI36" s="707"/>
      <c r="BWJ36" s="707"/>
      <c r="BWK36" s="707"/>
      <c r="BWL36" s="707"/>
      <c r="BWM36" s="707"/>
      <c r="BWN36" s="707"/>
      <c r="BWO36" s="707"/>
      <c r="BWP36" s="707"/>
      <c r="BWQ36" s="707"/>
      <c r="BWR36" s="707"/>
      <c r="BWS36" s="707"/>
      <c r="BWT36" s="707"/>
      <c r="BWU36" s="707"/>
      <c r="BWV36" s="707"/>
      <c r="BWW36" s="707"/>
      <c r="BWX36" s="707"/>
      <c r="BWY36" s="707"/>
      <c r="BWZ36" s="707"/>
      <c r="BXA36" s="707"/>
      <c r="BXB36" s="707"/>
      <c r="BXC36" s="707"/>
      <c r="BXD36" s="707"/>
      <c r="BXE36" s="707"/>
      <c r="BXF36" s="707"/>
      <c r="BXG36" s="707"/>
      <c r="BXH36" s="707"/>
      <c r="BXI36" s="707"/>
      <c r="BXJ36" s="707"/>
      <c r="BXK36" s="707"/>
      <c r="BXL36" s="707"/>
      <c r="BXM36" s="707"/>
      <c r="BXN36" s="707"/>
      <c r="BXO36" s="707"/>
      <c r="BXP36" s="707"/>
      <c r="BXQ36" s="707"/>
      <c r="BXR36" s="707"/>
      <c r="BXS36" s="707"/>
      <c r="BXT36" s="707"/>
      <c r="BXU36" s="707"/>
      <c r="BXV36" s="707"/>
      <c r="BXW36" s="707"/>
      <c r="BXX36" s="707"/>
      <c r="BXY36" s="707"/>
      <c r="BXZ36" s="707"/>
      <c r="BYA36" s="707"/>
      <c r="BYB36" s="707"/>
      <c r="BYC36" s="707"/>
      <c r="BYD36" s="707"/>
      <c r="BYE36" s="707"/>
      <c r="BYF36" s="707"/>
      <c r="BYG36" s="707"/>
      <c r="BYH36" s="707"/>
      <c r="BYI36" s="707"/>
      <c r="BYJ36" s="707"/>
      <c r="BYK36" s="707"/>
      <c r="BYL36" s="707"/>
      <c r="BYM36" s="707"/>
      <c r="BYN36" s="707"/>
      <c r="BYO36" s="707"/>
      <c r="BYP36" s="707"/>
      <c r="BYQ36" s="707"/>
      <c r="BYR36" s="707"/>
      <c r="BYS36" s="707"/>
      <c r="BYT36" s="707"/>
      <c r="BYU36" s="707"/>
      <c r="BYV36" s="707"/>
      <c r="BYW36" s="707"/>
      <c r="BYX36" s="707"/>
      <c r="BYY36" s="707"/>
      <c r="BYZ36" s="707"/>
      <c r="BZA36" s="707"/>
      <c r="BZB36" s="707"/>
      <c r="BZC36" s="707"/>
      <c r="BZD36" s="707"/>
      <c r="BZE36" s="707"/>
      <c r="BZF36" s="707"/>
      <c r="BZG36" s="707"/>
      <c r="BZH36" s="707"/>
      <c r="BZI36" s="707"/>
      <c r="BZJ36" s="707"/>
      <c r="BZK36" s="707"/>
      <c r="BZL36" s="707"/>
      <c r="BZM36" s="707"/>
      <c r="BZN36" s="707"/>
      <c r="BZO36" s="707"/>
      <c r="BZP36" s="707"/>
      <c r="BZQ36" s="707"/>
      <c r="BZR36" s="707"/>
      <c r="BZS36" s="707"/>
      <c r="BZT36" s="707"/>
      <c r="BZU36" s="707"/>
      <c r="BZV36" s="707"/>
      <c r="BZW36" s="707"/>
      <c r="BZX36" s="707"/>
      <c r="BZY36" s="707"/>
      <c r="BZZ36" s="707"/>
      <c r="CAA36" s="707"/>
      <c r="CAB36" s="707"/>
      <c r="CAC36" s="707"/>
      <c r="CAD36" s="707"/>
      <c r="CAE36" s="707"/>
      <c r="CAF36" s="707"/>
      <c r="CAG36" s="707"/>
      <c r="CAH36" s="707"/>
      <c r="CAI36" s="707"/>
      <c r="CAJ36" s="707"/>
      <c r="CAK36" s="707"/>
      <c r="CAL36" s="707"/>
      <c r="CAM36" s="707"/>
      <c r="CAN36" s="707"/>
      <c r="CAO36" s="707"/>
      <c r="CAP36" s="707"/>
      <c r="CAQ36" s="707"/>
      <c r="CAR36" s="707"/>
      <c r="CAS36" s="707"/>
      <c r="CAT36" s="707"/>
      <c r="CAU36" s="707"/>
      <c r="CAV36" s="707"/>
      <c r="CAW36" s="707"/>
      <c r="CAX36" s="707"/>
      <c r="CAY36" s="707"/>
      <c r="CAZ36" s="707"/>
      <c r="CBA36" s="707"/>
      <c r="CBB36" s="707"/>
      <c r="CBC36" s="707"/>
      <c r="CBD36" s="707"/>
      <c r="CBE36" s="707"/>
      <c r="CBF36" s="707"/>
      <c r="CBG36" s="707"/>
      <c r="CBH36" s="707"/>
      <c r="CBI36" s="707"/>
      <c r="CBJ36" s="707"/>
      <c r="CBK36" s="707"/>
      <c r="CBL36" s="707"/>
      <c r="CBM36" s="707"/>
      <c r="CBN36" s="707"/>
      <c r="CBO36" s="707"/>
      <c r="CBP36" s="707"/>
      <c r="CBQ36" s="707"/>
      <c r="CBR36" s="707"/>
      <c r="CBS36" s="707"/>
      <c r="CBT36" s="707"/>
      <c r="CBU36" s="707"/>
      <c r="CBV36" s="707"/>
      <c r="CBW36" s="707"/>
      <c r="CBX36" s="707"/>
      <c r="CBY36" s="707"/>
      <c r="CBZ36" s="707"/>
      <c r="CCA36" s="707"/>
      <c r="CCB36" s="707"/>
      <c r="CCC36" s="707"/>
      <c r="CCD36" s="707"/>
      <c r="CCE36" s="707"/>
      <c r="CCF36" s="707"/>
      <c r="CCG36" s="707"/>
      <c r="CCH36" s="707"/>
      <c r="CCI36" s="707"/>
      <c r="CCJ36" s="707"/>
      <c r="CCK36" s="707"/>
      <c r="CCL36" s="707"/>
      <c r="CCM36" s="707"/>
      <c r="CCN36" s="707"/>
      <c r="CCO36" s="707"/>
      <c r="CCP36" s="707"/>
      <c r="CCQ36" s="707"/>
      <c r="CCR36" s="707"/>
      <c r="CCS36" s="707"/>
      <c r="CCT36" s="707"/>
      <c r="CCU36" s="707"/>
      <c r="CCV36" s="707"/>
      <c r="CCW36" s="707"/>
      <c r="CCX36" s="707"/>
      <c r="CCY36" s="707"/>
      <c r="CCZ36" s="707"/>
      <c r="CDA36" s="707"/>
      <c r="CDB36" s="707"/>
      <c r="CDC36" s="707"/>
      <c r="CDD36" s="707"/>
      <c r="CDE36" s="707"/>
      <c r="CDF36" s="707"/>
      <c r="CDG36" s="707"/>
      <c r="CDH36" s="707"/>
      <c r="CDI36" s="707"/>
      <c r="CDJ36" s="707"/>
      <c r="CDK36" s="707"/>
      <c r="CDL36" s="707"/>
      <c r="CDM36" s="707"/>
      <c r="CDN36" s="707"/>
      <c r="CDO36" s="707"/>
      <c r="CDP36" s="707"/>
      <c r="CDQ36" s="707"/>
      <c r="CDR36" s="707"/>
      <c r="CDS36" s="707"/>
      <c r="CDT36" s="707"/>
      <c r="CDU36" s="707"/>
      <c r="CDV36" s="707"/>
      <c r="CDW36" s="707"/>
      <c r="CDX36" s="707"/>
      <c r="CDY36" s="707"/>
      <c r="CDZ36" s="707"/>
      <c r="CEA36" s="707"/>
      <c r="CEB36" s="707"/>
      <c r="CEC36" s="707"/>
      <c r="CED36" s="707"/>
      <c r="CEE36" s="707"/>
      <c r="CEF36" s="707"/>
      <c r="CEG36" s="707"/>
      <c r="CEH36" s="707"/>
      <c r="CEI36" s="707"/>
      <c r="CEJ36" s="707"/>
      <c r="CEK36" s="707"/>
      <c r="CEL36" s="707"/>
      <c r="CEM36" s="707"/>
      <c r="CEN36" s="707"/>
      <c r="CEO36" s="707"/>
      <c r="CEP36" s="707"/>
      <c r="CEQ36" s="707"/>
      <c r="CER36" s="707"/>
      <c r="CES36" s="707"/>
      <c r="CET36" s="707"/>
      <c r="CEU36" s="707"/>
      <c r="CEV36" s="707"/>
      <c r="CEW36" s="707"/>
      <c r="CEX36" s="707"/>
      <c r="CEY36" s="707"/>
      <c r="CEZ36" s="707"/>
      <c r="CFA36" s="707"/>
      <c r="CFB36" s="707"/>
      <c r="CFC36" s="707"/>
      <c r="CFD36" s="707"/>
      <c r="CFE36" s="707"/>
      <c r="CFF36" s="707"/>
      <c r="CFG36" s="707"/>
      <c r="CFH36" s="707"/>
      <c r="CFI36" s="707"/>
      <c r="CFJ36" s="707"/>
      <c r="CFK36" s="707"/>
      <c r="CFL36" s="707"/>
      <c r="CFM36" s="707"/>
      <c r="CFN36" s="707"/>
      <c r="CFO36" s="707"/>
      <c r="CFP36" s="707"/>
      <c r="CFQ36" s="707"/>
      <c r="CFR36" s="707"/>
      <c r="CFS36" s="707"/>
      <c r="CFT36" s="707"/>
      <c r="CFU36" s="707"/>
      <c r="CFV36" s="707"/>
      <c r="CFW36" s="707"/>
      <c r="CFX36" s="707"/>
      <c r="CFY36" s="707"/>
      <c r="CFZ36" s="707"/>
      <c r="CGA36" s="707"/>
      <c r="CGB36" s="707"/>
      <c r="CGC36" s="707"/>
      <c r="CGD36" s="707"/>
      <c r="CGE36" s="707"/>
      <c r="CGF36" s="707"/>
      <c r="CGG36" s="707"/>
      <c r="CGH36" s="707"/>
      <c r="CGI36" s="707"/>
      <c r="CGJ36" s="707"/>
      <c r="CGK36" s="707"/>
      <c r="CGL36" s="707"/>
      <c r="CGM36" s="707"/>
      <c r="CGN36" s="707"/>
      <c r="CGO36" s="707"/>
      <c r="CGP36" s="707"/>
      <c r="CGQ36" s="707"/>
      <c r="CGR36" s="707"/>
      <c r="CGS36" s="707"/>
      <c r="CGT36" s="707"/>
      <c r="CGU36" s="707"/>
      <c r="CGV36" s="707"/>
      <c r="CGW36" s="707"/>
      <c r="CGX36" s="707"/>
      <c r="CGY36" s="707"/>
      <c r="CGZ36" s="707"/>
      <c r="CHA36" s="707"/>
      <c r="CHB36" s="707"/>
      <c r="CHC36" s="707"/>
      <c r="CHD36" s="707"/>
      <c r="CHE36" s="707"/>
      <c r="CHF36" s="707"/>
      <c r="CHG36" s="707"/>
      <c r="CHH36" s="707"/>
      <c r="CHI36" s="707"/>
      <c r="CHJ36" s="707"/>
      <c r="CHK36" s="707"/>
      <c r="CHL36" s="707"/>
      <c r="CHM36" s="707"/>
      <c r="CHN36" s="707"/>
      <c r="CHO36" s="707"/>
      <c r="CHP36" s="707"/>
      <c r="CHQ36" s="707"/>
      <c r="CHR36" s="707"/>
      <c r="CHS36" s="707"/>
      <c r="CHT36" s="707"/>
      <c r="CHU36" s="707"/>
      <c r="CHV36" s="707"/>
      <c r="CHW36" s="707"/>
      <c r="CHX36" s="707"/>
      <c r="CHY36" s="707"/>
      <c r="CHZ36" s="707"/>
      <c r="CIA36" s="707"/>
      <c r="CIB36" s="707"/>
      <c r="CIC36" s="707"/>
      <c r="CID36" s="707"/>
      <c r="CIE36" s="707"/>
      <c r="CIF36" s="707"/>
      <c r="CIG36" s="707"/>
      <c r="CIH36" s="707"/>
      <c r="CII36" s="707"/>
      <c r="CIJ36" s="707"/>
      <c r="CIK36" s="707"/>
      <c r="CIL36" s="707"/>
      <c r="CIM36" s="707"/>
      <c r="CIN36" s="707"/>
      <c r="CIO36" s="707"/>
      <c r="CIP36" s="707"/>
      <c r="CIQ36" s="707"/>
      <c r="CIR36" s="707"/>
      <c r="CIS36" s="707"/>
      <c r="CIT36" s="707"/>
      <c r="CIU36" s="707"/>
      <c r="CIV36" s="707"/>
      <c r="CIW36" s="707"/>
      <c r="CIX36" s="707"/>
      <c r="CIY36" s="707"/>
      <c r="CIZ36" s="707"/>
      <c r="CJA36" s="707"/>
      <c r="CJB36" s="707"/>
      <c r="CJC36" s="707"/>
      <c r="CJD36" s="707"/>
      <c r="CJE36" s="707"/>
      <c r="CJF36" s="707"/>
      <c r="CJG36" s="707"/>
      <c r="CJH36" s="707"/>
      <c r="CJI36" s="707"/>
      <c r="CJJ36" s="707"/>
      <c r="CJK36" s="707"/>
      <c r="CJL36" s="707"/>
      <c r="CJM36" s="707"/>
      <c r="CJN36" s="707"/>
      <c r="CJO36" s="707"/>
      <c r="CJP36" s="707"/>
      <c r="CJQ36" s="707"/>
      <c r="CJR36" s="707"/>
      <c r="CJS36" s="707"/>
      <c r="CJT36" s="707"/>
      <c r="CJU36" s="707"/>
      <c r="CJV36" s="707"/>
      <c r="CJW36" s="707"/>
      <c r="CJX36" s="707"/>
      <c r="CJY36" s="707"/>
      <c r="CJZ36" s="707"/>
      <c r="CKA36" s="707"/>
      <c r="CKB36" s="707"/>
      <c r="CKC36" s="707"/>
      <c r="CKD36" s="707"/>
      <c r="CKE36" s="707"/>
      <c r="CKF36" s="707"/>
      <c r="CKG36" s="707"/>
      <c r="CKH36" s="707"/>
      <c r="CKI36" s="707"/>
      <c r="CKJ36" s="707"/>
      <c r="CKK36" s="707"/>
      <c r="CKL36" s="707"/>
      <c r="CKM36" s="707"/>
      <c r="CKN36" s="707"/>
      <c r="CKO36" s="707"/>
      <c r="CKP36" s="707"/>
      <c r="CKQ36" s="707"/>
      <c r="CKR36" s="707"/>
      <c r="CKS36" s="707"/>
      <c r="CKT36" s="707"/>
      <c r="CKU36" s="707"/>
      <c r="CKV36" s="707"/>
      <c r="CKW36" s="707"/>
      <c r="CKX36" s="707"/>
      <c r="CKY36" s="707"/>
      <c r="CKZ36" s="707"/>
      <c r="CLA36" s="707"/>
      <c r="CLB36" s="707"/>
      <c r="CLC36" s="707"/>
      <c r="CLD36" s="707"/>
      <c r="CLE36" s="707"/>
      <c r="CLF36" s="707"/>
      <c r="CLG36" s="707"/>
      <c r="CLH36" s="707"/>
      <c r="CLI36" s="707"/>
      <c r="CLJ36" s="707"/>
      <c r="CLK36" s="707"/>
      <c r="CLL36" s="707"/>
      <c r="CLM36" s="707"/>
      <c r="CLN36" s="707"/>
      <c r="CLO36" s="707"/>
      <c r="CLP36" s="707"/>
      <c r="CLQ36" s="707"/>
      <c r="CLR36" s="707"/>
      <c r="CLS36" s="707"/>
      <c r="CLT36" s="707"/>
      <c r="CLU36" s="707"/>
      <c r="CLV36" s="707"/>
      <c r="CLW36" s="707"/>
      <c r="CLX36" s="707"/>
      <c r="CLY36" s="707"/>
      <c r="CLZ36" s="707"/>
      <c r="CMA36" s="707"/>
      <c r="CMB36" s="707"/>
      <c r="CMC36" s="707"/>
      <c r="CMD36" s="707"/>
      <c r="CME36" s="707"/>
      <c r="CMF36" s="707"/>
      <c r="CMG36" s="707"/>
      <c r="CMH36" s="707"/>
      <c r="CMI36" s="707"/>
      <c r="CMJ36" s="707"/>
      <c r="CMK36" s="707"/>
      <c r="CML36" s="707"/>
      <c r="CMM36" s="707"/>
      <c r="CMN36" s="707"/>
      <c r="CMO36" s="707"/>
      <c r="CMP36" s="707"/>
      <c r="CMQ36" s="707"/>
      <c r="CMR36" s="707"/>
      <c r="CMS36" s="707"/>
      <c r="CMT36" s="707"/>
      <c r="CMU36" s="707"/>
      <c r="CMV36" s="707"/>
      <c r="CMW36" s="707"/>
      <c r="CMX36" s="707"/>
      <c r="CMY36" s="707"/>
      <c r="CMZ36" s="707"/>
      <c r="CNA36" s="707"/>
      <c r="CNB36" s="707"/>
      <c r="CNC36" s="707"/>
      <c r="CND36" s="707"/>
      <c r="CNE36" s="707"/>
      <c r="CNF36" s="707"/>
      <c r="CNG36" s="707"/>
      <c r="CNH36" s="707"/>
      <c r="CNI36" s="707"/>
      <c r="CNJ36" s="707"/>
      <c r="CNK36" s="707"/>
      <c r="CNL36" s="707"/>
      <c r="CNM36" s="707"/>
      <c r="CNN36" s="707"/>
      <c r="CNO36" s="707"/>
      <c r="CNP36" s="707"/>
      <c r="CNQ36" s="707"/>
      <c r="CNR36" s="707"/>
      <c r="CNS36" s="707"/>
      <c r="CNT36" s="707"/>
      <c r="CNU36" s="707"/>
      <c r="CNV36" s="707"/>
      <c r="CNW36" s="707"/>
      <c r="CNX36" s="707"/>
      <c r="CNY36" s="707"/>
      <c r="CNZ36" s="707"/>
      <c r="COA36" s="707"/>
      <c r="COB36" s="707"/>
      <c r="COC36" s="707"/>
      <c r="COD36" s="707"/>
      <c r="COE36" s="707"/>
      <c r="COF36" s="707"/>
      <c r="COG36" s="707"/>
      <c r="COH36" s="707"/>
      <c r="COI36" s="707"/>
      <c r="COJ36" s="707"/>
      <c r="COK36" s="707"/>
      <c r="COL36" s="707"/>
      <c r="COM36" s="707"/>
      <c r="CON36" s="707"/>
      <c r="COO36" s="707"/>
      <c r="COP36" s="707"/>
      <c r="COQ36" s="707"/>
      <c r="COR36" s="707"/>
      <c r="COS36" s="707"/>
      <c r="COT36" s="707"/>
      <c r="COU36" s="707"/>
      <c r="COV36" s="707"/>
      <c r="COW36" s="707"/>
      <c r="COX36" s="707"/>
      <c r="COY36" s="707"/>
      <c r="COZ36" s="707"/>
      <c r="CPA36" s="707"/>
      <c r="CPB36" s="707"/>
      <c r="CPC36" s="707"/>
      <c r="CPD36" s="707"/>
      <c r="CPE36" s="707"/>
      <c r="CPF36" s="707"/>
      <c r="CPG36" s="707"/>
      <c r="CPH36" s="707"/>
      <c r="CPI36" s="707"/>
      <c r="CPJ36" s="707"/>
      <c r="CPK36" s="707"/>
      <c r="CPL36" s="707"/>
      <c r="CPM36" s="707"/>
      <c r="CPN36" s="707"/>
      <c r="CPO36" s="707"/>
      <c r="CPP36" s="707"/>
      <c r="CPQ36" s="707"/>
      <c r="CPR36" s="707"/>
      <c r="CPS36" s="707"/>
      <c r="CPT36" s="707"/>
      <c r="CPU36" s="707"/>
      <c r="CPV36" s="707"/>
      <c r="CPW36" s="707"/>
      <c r="CPX36" s="707"/>
      <c r="CPY36" s="707"/>
      <c r="CPZ36" s="707"/>
      <c r="CQA36" s="707"/>
      <c r="CQB36" s="707"/>
      <c r="CQC36" s="707"/>
      <c r="CQD36" s="707"/>
      <c r="CQE36" s="707"/>
      <c r="CQF36" s="707"/>
      <c r="CQG36" s="707"/>
      <c r="CQH36" s="707"/>
      <c r="CQI36" s="707"/>
      <c r="CQJ36" s="707"/>
      <c r="CQK36" s="707"/>
      <c r="CQL36" s="707"/>
      <c r="CQM36" s="707"/>
      <c r="CQN36" s="707"/>
      <c r="CQO36" s="707"/>
      <c r="CQP36" s="707"/>
      <c r="CQQ36" s="707"/>
      <c r="CQR36" s="707"/>
      <c r="CQS36" s="707"/>
      <c r="CQT36" s="707"/>
      <c r="CQU36" s="707"/>
      <c r="CQV36" s="707"/>
      <c r="CQW36" s="707"/>
      <c r="CQX36" s="707"/>
      <c r="CQY36" s="707"/>
      <c r="CQZ36" s="707"/>
      <c r="CRA36" s="707"/>
      <c r="CRB36" s="707"/>
      <c r="CRC36" s="707"/>
      <c r="CRD36" s="707"/>
      <c r="CRE36" s="707"/>
      <c r="CRF36" s="707"/>
      <c r="CRG36" s="707"/>
      <c r="CRH36" s="707"/>
      <c r="CRI36" s="707"/>
      <c r="CRJ36" s="707"/>
      <c r="CRK36" s="707"/>
      <c r="CRL36" s="707"/>
      <c r="CRM36" s="707"/>
      <c r="CRN36" s="707"/>
      <c r="CRO36" s="707"/>
      <c r="CRP36" s="707"/>
      <c r="CRQ36" s="707"/>
      <c r="CRR36" s="707"/>
      <c r="CRS36" s="707"/>
      <c r="CRT36" s="707"/>
      <c r="CRU36" s="707"/>
      <c r="CRV36" s="707"/>
      <c r="CRW36" s="707"/>
      <c r="CRX36" s="707"/>
      <c r="CRY36" s="707"/>
      <c r="CRZ36" s="707"/>
      <c r="CSA36" s="707"/>
      <c r="CSB36" s="707"/>
      <c r="CSC36" s="707"/>
      <c r="CSD36" s="707"/>
      <c r="CSE36" s="707"/>
      <c r="CSF36" s="707"/>
      <c r="CSG36" s="707"/>
      <c r="CSH36" s="707"/>
      <c r="CSI36" s="707"/>
      <c r="CSJ36" s="707"/>
      <c r="CSK36" s="707"/>
      <c r="CSL36" s="707"/>
      <c r="CSM36" s="707"/>
      <c r="CSN36" s="707"/>
      <c r="CSO36" s="707"/>
      <c r="CSP36" s="707"/>
      <c r="CSQ36" s="707"/>
      <c r="CSR36" s="707"/>
      <c r="CSS36" s="707"/>
      <c r="CST36" s="707"/>
      <c r="CSU36" s="707"/>
      <c r="CSV36" s="707"/>
      <c r="CSW36" s="707"/>
      <c r="CSX36" s="707"/>
      <c r="CSY36" s="707"/>
      <c r="CSZ36" s="707"/>
      <c r="CTA36" s="707"/>
      <c r="CTB36" s="707"/>
      <c r="CTC36" s="707"/>
      <c r="CTD36" s="707"/>
      <c r="CTE36" s="707"/>
      <c r="CTF36" s="707"/>
      <c r="CTG36" s="707"/>
      <c r="CTH36" s="707"/>
      <c r="CTI36" s="707"/>
      <c r="CTJ36" s="707"/>
      <c r="CTK36" s="707"/>
      <c r="CTL36" s="707"/>
      <c r="CTM36" s="707"/>
      <c r="CTN36" s="707"/>
      <c r="CTO36" s="707"/>
      <c r="CTP36" s="707"/>
      <c r="CTQ36" s="707"/>
      <c r="CTR36" s="707"/>
      <c r="CTS36" s="707"/>
      <c r="CTT36" s="707"/>
      <c r="CTU36" s="707"/>
      <c r="CTV36" s="707"/>
      <c r="CTW36" s="707"/>
      <c r="CTX36" s="707"/>
      <c r="CTY36" s="707"/>
      <c r="CTZ36" s="707"/>
      <c r="CUA36" s="707"/>
      <c r="CUB36" s="707"/>
      <c r="CUC36" s="707"/>
      <c r="CUD36" s="707"/>
      <c r="CUE36" s="707"/>
      <c r="CUF36" s="707"/>
      <c r="CUG36" s="707"/>
      <c r="CUH36" s="707"/>
      <c r="CUI36" s="707"/>
      <c r="CUJ36" s="707"/>
      <c r="CUK36" s="707"/>
      <c r="CUL36" s="707"/>
      <c r="CUM36" s="707"/>
      <c r="CUN36" s="707"/>
      <c r="CUO36" s="707"/>
      <c r="CUP36" s="707"/>
      <c r="CUQ36" s="707"/>
      <c r="CUR36" s="707"/>
      <c r="CUS36" s="707"/>
      <c r="CUT36" s="707"/>
      <c r="CUU36" s="707"/>
      <c r="CUV36" s="707"/>
      <c r="CUW36" s="707"/>
      <c r="CUX36" s="707"/>
      <c r="CUY36" s="707"/>
      <c r="CUZ36" s="707"/>
      <c r="CVA36" s="707"/>
      <c r="CVB36" s="707"/>
      <c r="CVC36" s="707"/>
      <c r="CVD36" s="707"/>
      <c r="CVE36" s="707"/>
      <c r="CVF36" s="707"/>
      <c r="CVG36" s="707"/>
      <c r="CVH36" s="707"/>
      <c r="CVI36" s="707"/>
      <c r="CVJ36" s="707"/>
      <c r="CVK36" s="707"/>
      <c r="CVL36" s="707"/>
      <c r="CVM36" s="707"/>
      <c r="CVN36" s="707"/>
      <c r="CVO36" s="707"/>
      <c r="CVP36" s="707"/>
      <c r="CVQ36" s="707"/>
      <c r="CVR36" s="707"/>
      <c r="CVS36" s="707"/>
      <c r="CVT36" s="707"/>
      <c r="CVU36" s="707"/>
      <c r="CVV36" s="707"/>
      <c r="CVW36" s="707"/>
      <c r="CVX36" s="707"/>
      <c r="CVY36" s="707"/>
      <c r="CVZ36" s="707"/>
      <c r="CWA36" s="707"/>
      <c r="CWB36" s="707"/>
      <c r="CWC36" s="707"/>
      <c r="CWD36" s="707"/>
      <c r="CWE36" s="707"/>
      <c r="CWF36" s="707"/>
      <c r="CWG36" s="707"/>
      <c r="CWH36" s="707"/>
      <c r="CWI36" s="707"/>
      <c r="CWJ36" s="707"/>
      <c r="CWK36" s="707"/>
      <c r="CWL36" s="707"/>
      <c r="CWM36" s="707"/>
      <c r="CWN36" s="707"/>
      <c r="CWO36" s="707"/>
      <c r="CWP36" s="707"/>
      <c r="CWQ36" s="707"/>
      <c r="CWR36" s="707"/>
      <c r="CWS36" s="707"/>
      <c r="CWT36" s="707"/>
      <c r="CWU36" s="707"/>
      <c r="CWV36" s="707"/>
      <c r="CWW36" s="707"/>
      <c r="CWX36" s="707"/>
      <c r="CWY36" s="707"/>
      <c r="CWZ36" s="707"/>
      <c r="CXA36" s="707"/>
      <c r="CXB36" s="707"/>
      <c r="CXC36" s="707"/>
      <c r="CXD36" s="707"/>
      <c r="CXE36" s="707"/>
      <c r="CXF36" s="707"/>
      <c r="CXG36" s="707"/>
      <c r="CXH36" s="707"/>
      <c r="CXI36" s="707"/>
      <c r="CXJ36" s="707"/>
      <c r="CXK36" s="707"/>
      <c r="CXL36" s="707"/>
      <c r="CXM36" s="707"/>
      <c r="CXN36" s="707"/>
      <c r="CXO36" s="707"/>
      <c r="CXP36" s="707"/>
      <c r="CXQ36" s="707"/>
      <c r="CXR36" s="707"/>
      <c r="CXS36" s="707"/>
      <c r="CXT36" s="707"/>
      <c r="CXU36" s="707"/>
      <c r="CXV36" s="707"/>
      <c r="CXW36" s="707"/>
      <c r="CXX36" s="707"/>
      <c r="CXY36" s="707"/>
      <c r="CXZ36" s="707"/>
      <c r="CYA36" s="707"/>
      <c r="CYB36" s="707"/>
      <c r="CYC36" s="707"/>
      <c r="CYD36" s="707"/>
      <c r="CYE36" s="707"/>
      <c r="CYF36" s="707"/>
      <c r="CYG36" s="707"/>
      <c r="CYH36" s="707"/>
      <c r="CYI36" s="707"/>
      <c r="CYJ36" s="707"/>
      <c r="CYK36" s="707"/>
      <c r="CYL36" s="707"/>
      <c r="CYM36" s="707"/>
      <c r="CYN36" s="707"/>
      <c r="CYO36" s="707"/>
      <c r="CYP36" s="707"/>
      <c r="CYQ36" s="707"/>
      <c r="CYR36" s="707"/>
      <c r="CYS36" s="707"/>
      <c r="CYT36" s="707"/>
      <c r="CYU36" s="707"/>
      <c r="CYV36" s="707"/>
      <c r="CYW36" s="707"/>
      <c r="CYX36" s="707"/>
      <c r="CYY36" s="707"/>
      <c r="CYZ36" s="707"/>
      <c r="CZA36" s="707"/>
      <c r="CZB36" s="707"/>
      <c r="CZC36" s="707"/>
      <c r="CZD36" s="707"/>
      <c r="CZE36" s="707"/>
      <c r="CZF36" s="707"/>
      <c r="CZG36" s="707"/>
      <c r="CZH36" s="707"/>
      <c r="CZI36" s="707"/>
      <c r="CZJ36" s="707"/>
      <c r="CZK36" s="707"/>
      <c r="CZL36" s="707"/>
      <c r="CZM36" s="707"/>
      <c r="CZN36" s="707"/>
      <c r="CZO36" s="707"/>
      <c r="CZP36" s="707"/>
      <c r="CZQ36" s="707"/>
      <c r="CZR36" s="707"/>
      <c r="CZS36" s="707"/>
      <c r="CZT36" s="707"/>
      <c r="CZU36" s="707"/>
      <c r="CZV36" s="707"/>
      <c r="CZW36" s="707"/>
      <c r="CZX36" s="707"/>
      <c r="CZY36" s="707"/>
      <c r="CZZ36" s="707"/>
      <c r="DAA36" s="707"/>
      <c r="DAB36" s="707"/>
      <c r="DAC36" s="707"/>
      <c r="DAD36" s="707"/>
      <c r="DAE36" s="707"/>
      <c r="DAF36" s="707"/>
      <c r="DAG36" s="707"/>
      <c r="DAH36" s="707"/>
      <c r="DAI36" s="707"/>
      <c r="DAJ36" s="707"/>
      <c r="DAK36" s="707"/>
      <c r="DAL36" s="707"/>
      <c r="DAM36" s="707"/>
      <c r="DAN36" s="707"/>
      <c r="DAO36" s="707"/>
      <c r="DAP36" s="707"/>
      <c r="DAQ36" s="707"/>
      <c r="DAR36" s="707"/>
      <c r="DAS36" s="707"/>
      <c r="DAT36" s="707"/>
      <c r="DAU36" s="707"/>
      <c r="DAV36" s="707"/>
      <c r="DAW36" s="707"/>
      <c r="DAX36" s="707"/>
      <c r="DAY36" s="707"/>
      <c r="DAZ36" s="707"/>
      <c r="DBA36" s="707"/>
      <c r="DBB36" s="707"/>
      <c r="DBC36" s="707"/>
      <c r="DBD36" s="707"/>
      <c r="DBE36" s="707"/>
      <c r="DBF36" s="707"/>
      <c r="DBG36" s="707"/>
      <c r="DBH36" s="707"/>
      <c r="DBI36" s="707"/>
      <c r="DBJ36" s="707"/>
      <c r="DBK36" s="707"/>
      <c r="DBL36" s="707"/>
      <c r="DBM36" s="707"/>
      <c r="DBN36" s="707"/>
      <c r="DBO36" s="707"/>
      <c r="DBP36" s="707"/>
      <c r="DBQ36" s="707"/>
      <c r="DBR36" s="707"/>
      <c r="DBS36" s="707"/>
      <c r="DBT36" s="707"/>
      <c r="DBU36" s="707"/>
      <c r="DBV36" s="707"/>
      <c r="DBW36" s="707"/>
      <c r="DBX36" s="707"/>
      <c r="DBY36" s="707"/>
      <c r="DBZ36" s="707"/>
      <c r="DCA36" s="707"/>
      <c r="DCB36" s="707"/>
      <c r="DCC36" s="707"/>
      <c r="DCD36" s="707"/>
      <c r="DCE36" s="707"/>
      <c r="DCF36" s="707"/>
      <c r="DCG36" s="707"/>
      <c r="DCH36" s="707"/>
      <c r="DCI36" s="707"/>
      <c r="DCJ36" s="707"/>
      <c r="DCK36" s="707"/>
      <c r="DCL36" s="707"/>
      <c r="DCM36" s="707"/>
      <c r="DCN36" s="707"/>
      <c r="DCO36" s="707"/>
      <c r="DCP36" s="707"/>
      <c r="DCQ36" s="707"/>
      <c r="DCR36" s="707"/>
      <c r="DCS36" s="707"/>
      <c r="DCT36" s="707"/>
      <c r="DCU36" s="707"/>
      <c r="DCV36" s="707"/>
      <c r="DCW36" s="707"/>
      <c r="DCX36" s="707"/>
      <c r="DCY36" s="707"/>
      <c r="DCZ36" s="707"/>
      <c r="DDA36" s="707"/>
      <c r="DDB36" s="707"/>
      <c r="DDC36" s="707"/>
      <c r="DDD36" s="707"/>
      <c r="DDE36" s="707"/>
      <c r="DDF36" s="707"/>
      <c r="DDG36" s="707"/>
      <c r="DDH36" s="707"/>
      <c r="DDI36" s="707"/>
      <c r="DDJ36" s="707"/>
      <c r="DDK36" s="707"/>
      <c r="DDL36" s="707"/>
      <c r="DDM36" s="707"/>
      <c r="DDN36" s="707"/>
      <c r="DDO36" s="707"/>
      <c r="DDP36" s="707"/>
      <c r="DDQ36" s="707"/>
      <c r="DDR36" s="707"/>
      <c r="DDS36" s="707"/>
      <c r="DDT36" s="707"/>
      <c r="DDU36" s="707"/>
      <c r="DDV36" s="707"/>
      <c r="DDW36" s="707"/>
      <c r="DDX36" s="707"/>
      <c r="DDY36" s="707"/>
      <c r="DDZ36" s="707"/>
      <c r="DEA36" s="707"/>
      <c r="DEB36" s="707"/>
      <c r="DEC36" s="707"/>
      <c r="DED36" s="707"/>
      <c r="DEE36" s="707"/>
      <c r="DEF36" s="707"/>
      <c r="DEG36" s="707"/>
      <c r="DEH36" s="707"/>
      <c r="DEI36" s="707"/>
      <c r="DEJ36" s="707"/>
      <c r="DEK36" s="707"/>
      <c r="DEL36" s="707"/>
      <c r="DEM36" s="707"/>
      <c r="DEN36" s="707"/>
      <c r="DEO36" s="707"/>
      <c r="DEP36" s="707"/>
      <c r="DEQ36" s="707"/>
      <c r="DER36" s="707"/>
      <c r="DES36" s="707"/>
      <c r="DET36" s="707"/>
      <c r="DEU36" s="707"/>
      <c r="DEV36" s="707"/>
      <c r="DEW36" s="707"/>
      <c r="DEX36" s="707"/>
      <c r="DEY36" s="707"/>
      <c r="DEZ36" s="707"/>
      <c r="DFA36" s="707"/>
      <c r="DFB36" s="707"/>
      <c r="DFC36" s="707"/>
      <c r="DFD36" s="707"/>
      <c r="DFE36" s="707"/>
      <c r="DFF36" s="707"/>
      <c r="DFG36" s="707"/>
      <c r="DFH36" s="707"/>
      <c r="DFI36" s="707"/>
      <c r="DFJ36" s="707"/>
      <c r="DFK36" s="707"/>
      <c r="DFL36" s="707"/>
      <c r="DFM36" s="707"/>
      <c r="DFN36" s="707"/>
      <c r="DFO36" s="707"/>
      <c r="DFP36" s="707"/>
      <c r="DFQ36" s="707"/>
      <c r="DFR36" s="707"/>
      <c r="DFS36" s="707"/>
      <c r="DFT36" s="707"/>
      <c r="DFU36" s="707"/>
      <c r="DFV36" s="707"/>
      <c r="DFW36" s="707"/>
      <c r="DFX36" s="707"/>
      <c r="DFY36" s="707"/>
      <c r="DFZ36" s="707"/>
      <c r="DGA36" s="707"/>
      <c r="DGB36" s="707"/>
      <c r="DGC36" s="707"/>
      <c r="DGD36" s="707"/>
      <c r="DGE36" s="707"/>
      <c r="DGF36" s="707"/>
      <c r="DGG36" s="707"/>
      <c r="DGH36" s="707"/>
      <c r="DGI36" s="707"/>
      <c r="DGJ36" s="707"/>
      <c r="DGK36" s="707"/>
      <c r="DGL36" s="707"/>
      <c r="DGM36" s="707"/>
      <c r="DGN36" s="707"/>
      <c r="DGO36" s="707"/>
      <c r="DGP36" s="707"/>
      <c r="DGQ36" s="707"/>
      <c r="DGR36" s="707"/>
      <c r="DGS36" s="707"/>
      <c r="DGT36" s="707"/>
      <c r="DGU36" s="707"/>
      <c r="DGV36" s="707"/>
      <c r="DGW36" s="707"/>
      <c r="DGX36" s="707"/>
      <c r="DGY36" s="707"/>
      <c r="DGZ36" s="707"/>
      <c r="DHA36" s="707"/>
      <c r="DHB36" s="707"/>
      <c r="DHC36" s="707"/>
      <c r="DHD36" s="707"/>
      <c r="DHE36" s="707"/>
      <c r="DHF36" s="707"/>
      <c r="DHG36" s="707"/>
      <c r="DHH36" s="707"/>
      <c r="DHI36" s="707"/>
      <c r="DHJ36" s="707"/>
      <c r="DHK36" s="707"/>
      <c r="DHL36" s="707"/>
      <c r="DHM36" s="707"/>
      <c r="DHN36" s="707"/>
      <c r="DHO36" s="707"/>
      <c r="DHP36" s="707"/>
      <c r="DHQ36" s="707"/>
      <c r="DHR36" s="707"/>
      <c r="DHS36" s="707"/>
      <c r="DHT36" s="707"/>
      <c r="DHU36" s="707"/>
      <c r="DHV36" s="707"/>
      <c r="DHW36" s="707"/>
      <c r="DHX36" s="707"/>
      <c r="DHY36" s="707"/>
      <c r="DHZ36" s="707"/>
      <c r="DIA36" s="707"/>
      <c r="DIB36" s="707"/>
      <c r="DIC36" s="707"/>
      <c r="DID36" s="707"/>
      <c r="DIE36" s="707"/>
      <c r="DIF36" s="707"/>
      <c r="DIG36" s="707"/>
      <c r="DIH36" s="707"/>
      <c r="DII36" s="707"/>
      <c r="DIJ36" s="707"/>
      <c r="DIK36" s="707"/>
      <c r="DIL36" s="707"/>
      <c r="DIM36" s="707"/>
      <c r="DIN36" s="707"/>
      <c r="DIO36" s="707"/>
      <c r="DIP36" s="707"/>
      <c r="DIQ36" s="707"/>
      <c r="DIR36" s="707"/>
      <c r="DIS36" s="707"/>
      <c r="DIT36" s="707"/>
      <c r="DIU36" s="707"/>
      <c r="DIV36" s="707"/>
      <c r="DIW36" s="707"/>
      <c r="DIX36" s="707"/>
      <c r="DIY36" s="707"/>
      <c r="DIZ36" s="707"/>
      <c r="DJA36" s="707"/>
      <c r="DJB36" s="707"/>
      <c r="DJC36" s="707"/>
      <c r="DJD36" s="707"/>
      <c r="DJE36" s="707"/>
      <c r="DJF36" s="707"/>
      <c r="DJG36" s="707"/>
      <c r="DJH36" s="707"/>
      <c r="DJI36" s="707"/>
      <c r="DJJ36" s="707"/>
      <c r="DJK36" s="707"/>
      <c r="DJL36" s="707"/>
      <c r="DJM36" s="707"/>
      <c r="DJN36" s="707"/>
      <c r="DJO36" s="707"/>
      <c r="DJP36" s="707"/>
      <c r="DJQ36" s="707"/>
      <c r="DJR36" s="707"/>
      <c r="DJS36" s="707"/>
      <c r="DJT36" s="707"/>
      <c r="DJU36" s="707"/>
      <c r="DJV36" s="707"/>
      <c r="DJW36" s="707"/>
      <c r="DJX36" s="707"/>
      <c r="DJY36" s="707"/>
      <c r="DJZ36" s="707"/>
      <c r="DKA36" s="707"/>
      <c r="DKB36" s="707"/>
      <c r="DKC36" s="707"/>
      <c r="DKD36" s="707"/>
      <c r="DKE36" s="707"/>
      <c r="DKF36" s="707"/>
      <c r="DKG36" s="707"/>
      <c r="DKH36" s="707"/>
      <c r="DKI36" s="707"/>
      <c r="DKJ36" s="707"/>
      <c r="DKK36" s="707"/>
      <c r="DKL36" s="707"/>
      <c r="DKM36" s="707"/>
      <c r="DKN36" s="707"/>
      <c r="DKO36" s="707"/>
      <c r="DKP36" s="707"/>
      <c r="DKQ36" s="707"/>
      <c r="DKR36" s="707"/>
      <c r="DKS36" s="707"/>
      <c r="DKT36" s="707"/>
      <c r="DKU36" s="707"/>
      <c r="DKV36" s="707"/>
      <c r="DKW36" s="707"/>
      <c r="DKX36" s="707"/>
      <c r="DKY36" s="707"/>
      <c r="DKZ36" s="707"/>
      <c r="DLA36" s="707"/>
      <c r="DLB36" s="707"/>
      <c r="DLC36" s="707"/>
      <c r="DLD36" s="707"/>
      <c r="DLE36" s="707"/>
      <c r="DLF36" s="707"/>
      <c r="DLG36" s="707"/>
      <c r="DLH36" s="707"/>
      <c r="DLI36" s="707"/>
      <c r="DLJ36" s="707"/>
      <c r="DLK36" s="707"/>
      <c r="DLL36" s="707"/>
      <c r="DLM36" s="707"/>
      <c r="DLN36" s="707"/>
      <c r="DLO36" s="707"/>
      <c r="DLP36" s="707"/>
      <c r="DLQ36" s="707"/>
      <c r="DLR36" s="707"/>
      <c r="DLS36" s="707"/>
      <c r="DLT36" s="707"/>
      <c r="DLU36" s="707"/>
      <c r="DLV36" s="707"/>
      <c r="DLW36" s="707"/>
      <c r="DLX36" s="707"/>
      <c r="DLY36" s="707"/>
      <c r="DLZ36" s="707"/>
      <c r="DMA36" s="707"/>
      <c r="DMB36" s="707"/>
      <c r="DMC36" s="707"/>
      <c r="DMD36" s="707"/>
      <c r="DME36" s="707"/>
      <c r="DMF36" s="707"/>
      <c r="DMG36" s="707"/>
      <c r="DMH36" s="707"/>
      <c r="DMI36" s="707"/>
      <c r="DMJ36" s="707"/>
      <c r="DMK36" s="707"/>
      <c r="DML36" s="707"/>
      <c r="DMM36" s="707"/>
      <c r="DMN36" s="707"/>
      <c r="DMO36" s="707"/>
      <c r="DMP36" s="707"/>
      <c r="DMQ36" s="707"/>
      <c r="DMR36" s="707"/>
      <c r="DMS36" s="707"/>
      <c r="DMT36" s="707"/>
      <c r="DMU36" s="707"/>
      <c r="DMV36" s="707"/>
      <c r="DMW36" s="707"/>
      <c r="DMX36" s="707"/>
      <c r="DMY36" s="707"/>
      <c r="DMZ36" s="707"/>
      <c r="DNA36" s="707"/>
      <c r="DNB36" s="707"/>
      <c r="DNC36" s="707"/>
      <c r="DND36" s="707"/>
      <c r="DNE36" s="707"/>
      <c r="DNF36" s="707"/>
      <c r="DNG36" s="707"/>
      <c r="DNH36" s="707"/>
      <c r="DNI36" s="707"/>
      <c r="DNJ36" s="707"/>
      <c r="DNK36" s="707"/>
      <c r="DNL36" s="707"/>
      <c r="DNM36" s="707"/>
      <c r="DNN36" s="707"/>
      <c r="DNO36" s="707"/>
      <c r="DNP36" s="707"/>
      <c r="DNQ36" s="707"/>
      <c r="DNR36" s="707"/>
      <c r="DNS36" s="707"/>
      <c r="DNT36" s="707"/>
      <c r="DNU36" s="707"/>
      <c r="DNV36" s="707"/>
      <c r="DNW36" s="707"/>
      <c r="DNX36" s="707"/>
      <c r="DNY36" s="707"/>
      <c r="DNZ36" s="707"/>
      <c r="DOA36" s="707"/>
      <c r="DOB36" s="707"/>
      <c r="DOC36" s="707"/>
      <c r="DOD36" s="707"/>
      <c r="DOE36" s="707"/>
      <c r="DOF36" s="707"/>
      <c r="DOG36" s="707"/>
      <c r="DOH36" s="707"/>
      <c r="DOI36" s="707"/>
      <c r="DOJ36" s="707"/>
      <c r="DOK36" s="707"/>
      <c r="DOL36" s="707"/>
      <c r="DOM36" s="707"/>
      <c r="DON36" s="707"/>
      <c r="DOO36" s="707"/>
      <c r="DOP36" s="707"/>
      <c r="DOQ36" s="707"/>
      <c r="DOR36" s="707"/>
      <c r="DOS36" s="707"/>
      <c r="DOT36" s="707"/>
      <c r="DOU36" s="707"/>
      <c r="DOV36" s="707"/>
      <c r="DOW36" s="707"/>
      <c r="DOX36" s="707"/>
      <c r="DOY36" s="707"/>
      <c r="DOZ36" s="707"/>
      <c r="DPA36" s="707"/>
      <c r="DPB36" s="707"/>
      <c r="DPC36" s="707"/>
      <c r="DPD36" s="707"/>
      <c r="DPE36" s="707"/>
      <c r="DPF36" s="707"/>
      <c r="DPG36" s="707"/>
      <c r="DPH36" s="707"/>
      <c r="DPI36" s="707"/>
      <c r="DPJ36" s="707"/>
      <c r="DPK36" s="707"/>
      <c r="DPL36" s="707"/>
      <c r="DPM36" s="707"/>
      <c r="DPN36" s="707"/>
      <c r="DPO36" s="707"/>
      <c r="DPP36" s="707"/>
      <c r="DPQ36" s="707"/>
      <c r="DPR36" s="707"/>
      <c r="DPS36" s="707"/>
      <c r="DPT36" s="707"/>
      <c r="DPU36" s="707"/>
      <c r="DPV36" s="707"/>
      <c r="DPW36" s="707"/>
      <c r="DPX36" s="707"/>
      <c r="DPY36" s="707"/>
      <c r="DPZ36" s="707"/>
      <c r="DQA36" s="707"/>
      <c r="DQB36" s="707"/>
      <c r="DQC36" s="707"/>
      <c r="DQD36" s="707"/>
      <c r="DQE36" s="707"/>
      <c r="DQF36" s="707"/>
      <c r="DQG36" s="707"/>
      <c r="DQH36" s="707"/>
      <c r="DQI36" s="707"/>
      <c r="DQJ36" s="707"/>
      <c r="DQK36" s="707"/>
      <c r="DQL36" s="707"/>
      <c r="DQM36" s="707"/>
      <c r="DQN36" s="707"/>
      <c r="DQO36" s="707"/>
      <c r="DQP36" s="707"/>
      <c r="DQQ36" s="707"/>
      <c r="DQR36" s="707"/>
      <c r="DQS36" s="707"/>
      <c r="DQT36" s="707"/>
      <c r="DQU36" s="707"/>
      <c r="DQV36" s="707"/>
      <c r="DQW36" s="707"/>
      <c r="DQX36" s="707"/>
      <c r="DQY36" s="707"/>
      <c r="DQZ36" s="707"/>
      <c r="DRA36" s="707"/>
      <c r="DRB36" s="707"/>
      <c r="DRC36" s="707"/>
      <c r="DRD36" s="707"/>
      <c r="DRE36" s="707"/>
      <c r="DRF36" s="707"/>
      <c r="DRG36" s="707"/>
      <c r="DRH36" s="707"/>
      <c r="DRI36" s="707"/>
      <c r="DRJ36" s="707"/>
      <c r="DRK36" s="707"/>
      <c r="DRL36" s="707"/>
      <c r="DRM36" s="707"/>
      <c r="DRN36" s="707"/>
      <c r="DRO36" s="707"/>
      <c r="DRP36" s="707"/>
      <c r="DRQ36" s="707"/>
      <c r="DRR36" s="707"/>
      <c r="DRS36" s="707"/>
      <c r="DRT36" s="707"/>
      <c r="DRU36" s="707"/>
      <c r="DRV36" s="707"/>
      <c r="DRW36" s="707"/>
      <c r="DRX36" s="707"/>
      <c r="DRY36" s="707"/>
      <c r="DRZ36" s="707"/>
      <c r="DSA36" s="707"/>
      <c r="DSB36" s="707"/>
      <c r="DSC36" s="707"/>
      <c r="DSD36" s="707"/>
      <c r="DSE36" s="707"/>
      <c r="DSF36" s="707"/>
      <c r="DSG36" s="707"/>
      <c r="DSH36" s="707"/>
      <c r="DSI36" s="707"/>
      <c r="DSJ36" s="707"/>
      <c r="DSK36" s="707"/>
      <c r="DSL36" s="707"/>
      <c r="DSM36" s="707"/>
      <c r="DSN36" s="707"/>
      <c r="DSO36" s="707"/>
      <c r="DSP36" s="707"/>
      <c r="DSQ36" s="707"/>
      <c r="DSR36" s="707"/>
      <c r="DSS36" s="707"/>
      <c r="DST36" s="707"/>
      <c r="DSU36" s="707"/>
      <c r="DSV36" s="707"/>
      <c r="DSW36" s="707"/>
      <c r="DSX36" s="707"/>
      <c r="DSY36" s="707"/>
      <c r="DSZ36" s="707"/>
      <c r="DTA36" s="707"/>
      <c r="DTB36" s="707"/>
      <c r="DTC36" s="707"/>
      <c r="DTD36" s="707"/>
      <c r="DTE36" s="707"/>
      <c r="DTF36" s="707"/>
      <c r="DTG36" s="707"/>
      <c r="DTH36" s="707"/>
      <c r="DTI36" s="707"/>
      <c r="DTJ36" s="707"/>
      <c r="DTK36" s="707"/>
      <c r="DTL36" s="707"/>
      <c r="DTM36" s="707"/>
      <c r="DTN36" s="707"/>
      <c r="DTO36" s="707"/>
      <c r="DTP36" s="707"/>
      <c r="DTQ36" s="707"/>
      <c r="DTR36" s="707"/>
      <c r="DTS36" s="707"/>
      <c r="DTT36" s="707"/>
      <c r="DTU36" s="707"/>
      <c r="DTV36" s="707"/>
      <c r="DTW36" s="707"/>
      <c r="DTX36" s="707"/>
      <c r="DTY36" s="707"/>
      <c r="DTZ36" s="707"/>
      <c r="DUA36" s="707"/>
      <c r="DUB36" s="707"/>
      <c r="DUC36" s="707"/>
      <c r="DUD36" s="707"/>
      <c r="DUE36" s="707"/>
      <c r="DUF36" s="707"/>
      <c r="DUG36" s="707"/>
      <c r="DUH36" s="707"/>
      <c r="DUI36" s="707"/>
      <c r="DUJ36" s="707"/>
      <c r="DUK36" s="707"/>
      <c r="DUL36" s="707"/>
      <c r="DUM36" s="707"/>
      <c r="DUN36" s="707"/>
      <c r="DUO36" s="707"/>
      <c r="DUP36" s="707"/>
      <c r="DUQ36" s="707"/>
      <c r="DUR36" s="707"/>
      <c r="DUS36" s="707"/>
      <c r="DUT36" s="707"/>
      <c r="DUU36" s="707"/>
      <c r="DUV36" s="707"/>
      <c r="DUW36" s="707"/>
      <c r="DUX36" s="707"/>
      <c r="DUY36" s="707"/>
      <c r="DUZ36" s="707"/>
      <c r="DVA36" s="707"/>
      <c r="DVB36" s="707"/>
      <c r="DVC36" s="707"/>
      <c r="DVD36" s="707"/>
      <c r="DVE36" s="707"/>
      <c r="DVF36" s="707"/>
      <c r="DVG36" s="707"/>
      <c r="DVH36" s="707"/>
      <c r="DVI36" s="707"/>
      <c r="DVJ36" s="707"/>
      <c r="DVK36" s="707"/>
      <c r="DVL36" s="707"/>
      <c r="DVM36" s="707"/>
      <c r="DVN36" s="707"/>
      <c r="DVO36" s="707"/>
      <c r="DVP36" s="707"/>
      <c r="DVQ36" s="707"/>
      <c r="DVR36" s="707"/>
      <c r="DVS36" s="707"/>
      <c r="DVT36" s="707"/>
      <c r="DVU36" s="707"/>
      <c r="DVV36" s="707"/>
      <c r="DVW36" s="707"/>
      <c r="DVX36" s="707"/>
      <c r="DVY36" s="707"/>
      <c r="DVZ36" s="707"/>
      <c r="DWA36" s="707"/>
      <c r="DWB36" s="707"/>
      <c r="DWC36" s="707"/>
      <c r="DWD36" s="707"/>
      <c r="DWE36" s="707"/>
      <c r="DWF36" s="707"/>
      <c r="DWG36" s="707"/>
      <c r="DWH36" s="707"/>
      <c r="DWI36" s="707"/>
      <c r="DWJ36" s="707"/>
      <c r="DWK36" s="707"/>
      <c r="DWL36" s="707"/>
      <c r="DWM36" s="707"/>
      <c r="DWN36" s="707"/>
      <c r="DWO36" s="707"/>
      <c r="DWP36" s="707"/>
      <c r="DWQ36" s="707"/>
      <c r="DWR36" s="707"/>
      <c r="DWS36" s="707"/>
      <c r="DWT36" s="707"/>
      <c r="DWU36" s="707"/>
      <c r="DWV36" s="707"/>
      <c r="DWW36" s="707"/>
      <c r="DWX36" s="707"/>
      <c r="DWY36" s="707"/>
      <c r="DWZ36" s="707"/>
      <c r="DXA36" s="707"/>
      <c r="DXB36" s="707"/>
      <c r="DXC36" s="707"/>
      <c r="DXD36" s="707"/>
      <c r="DXE36" s="707"/>
      <c r="DXF36" s="707"/>
      <c r="DXG36" s="707"/>
      <c r="DXH36" s="707"/>
      <c r="DXI36" s="707"/>
      <c r="DXJ36" s="707"/>
      <c r="DXK36" s="707"/>
      <c r="DXL36" s="707"/>
      <c r="DXM36" s="707"/>
      <c r="DXN36" s="707"/>
      <c r="DXO36" s="707"/>
      <c r="DXP36" s="707"/>
      <c r="DXQ36" s="707"/>
      <c r="DXR36" s="707"/>
      <c r="DXS36" s="707"/>
      <c r="DXT36" s="707"/>
      <c r="DXU36" s="707"/>
      <c r="DXV36" s="707"/>
      <c r="DXW36" s="707"/>
      <c r="DXX36" s="707"/>
      <c r="DXY36" s="707"/>
      <c r="DXZ36" s="707"/>
      <c r="DYA36" s="707"/>
      <c r="DYB36" s="707"/>
      <c r="DYC36" s="707"/>
      <c r="DYD36" s="707"/>
      <c r="DYE36" s="707"/>
      <c r="DYF36" s="707"/>
      <c r="DYG36" s="707"/>
      <c r="DYH36" s="707"/>
      <c r="DYI36" s="707"/>
      <c r="DYJ36" s="707"/>
      <c r="DYK36" s="707"/>
      <c r="DYL36" s="707"/>
      <c r="DYM36" s="707"/>
      <c r="DYN36" s="707"/>
      <c r="DYO36" s="707"/>
      <c r="DYP36" s="707"/>
      <c r="DYQ36" s="707"/>
      <c r="DYR36" s="707"/>
      <c r="DYS36" s="707"/>
      <c r="DYT36" s="707"/>
      <c r="DYU36" s="707"/>
      <c r="DYV36" s="707"/>
      <c r="DYW36" s="707"/>
      <c r="DYX36" s="707"/>
      <c r="DYY36" s="707"/>
      <c r="DYZ36" s="707"/>
      <c r="DZA36" s="707"/>
      <c r="DZB36" s="707"/>
      <c r="DZC36" s="707"/>
      <c r="DZD36" s="707"/>
      <c r="DZE36" s="707"/>
      <c r="DZF36" s="707"/>
      <c r="DZG36" s="707"/>
      <c r="DZH36" s="707"/>
      <c r="DZI36" s="707"/>
      <c r="DZJ36" s="707"/>
      <c r="DZK36" s="707"/>
      <c r="DZL36" s="707"/>
      <c r="DZM36" s="707"/>
      <c r="DZN36" s="707"/>
      <c r="DZO36" s="707"/>
      <c r="DZP36" s="707"/>
      <c r="DZQ36" s="707"/>
      <c r="DZR36" s="707"/>
      <c r="DZS36" s="707"/>
      <c r="DZT36" s="707"/>
      <c r="DZU36" s="707"/>
      <c r="DZV36" s="707"/>
      <c r="DZW36" s="707"/>
      <c r="DZX36" s="707"/>
      <c r="DZY36" s="707"/>
      <c r="DZZ36" s="707"/>
      <c r="EAA36" s="707"/>
      <c r="EAB36" s="707"/>
      <c r="EAC36" s="707"/>
      <c r="EAD36" s="707"/>
      <c r="EAE36" s="707"/>
      <c r="EAF36" s="707"/>
      <c r="EAG36" s="707"/>
      <c r="EAH36" s="707"/>
      <c r="EAI36" s="707"/>
      <c r="EAJ36" s="707"/>
      <c r="EAK36" s="707"/>
      <c r="EAL36" s="707"/>
      <c r="EAM36" s="707"/>
      <c r="EAN36" s="707"/>
      <c r="EAO36" s="707"/>
      <c r="EAP36" s="707"/>
      <c r="EAQ36" s="707"/>
      <c r="EAR36" s="707"/>
      <c r="EAS36" s="707"/>
      <c r="EAT36" s="707"/>
      <c r="EAU36" s="707"/>
      <c r="EAV36" s="707"/>
      <c r="EAW36" s="707"/>
      <c r="EAX36" s="707"/>
      <c r="EAY36" s="707"/>
      <c r="EAZ36" s="707"/>
      <c r="EBA36" s="707"/>
      <c r="EBB36" s="707"/>
      <c r="EBC36" s="707"/>
      <c r="EBD36" s="707"/>
      <c r="EBE36" s="707"/>
      <c r="EBF36" s="707"/>
      <c r="EBG36" s="707"/>
      <c r="EBH36" s="707"/>
      <c r="EBI36" s="707"/>
      <c r="EBJ36" s="707"/>
      <c r="EBK36" s="707"/>
      <c r="EBL36" s="707"/>
      <c r="EBM36" s="707"/>
      <c r="EBN36" s="707"/>
      <c r="EBO36" s="707"/>
      <c r="EBP36" s="707"/>
      <c r="EBQ36" s="707"/>
      <c r="EBR36" s="707"/>
      <c r="EBS36" s="707"/>
      <c r="EBT36" s="707"/>
      <c r="EBU36" s="707"/>
      <c r="EBV36" s="707"/>
      <c r="EBW36" s="707"/>
      <c r="EBX36" s="707"/>
      <c r="EBY36" s="707"/>
      <c r="EBZ36" s="707"/>
      <c r="ECA36" s="707"/>
      <c r="ECB36" s="707"/>
      <c r="ECC36" s="707"/>
      <c r="ECD36" s="707"/>
      <c r="ECE36" s="707"/>
      <c r="ECF36" s="707"/>
      <c r="ECG36" s="707"/>
      <c r="ECH36" s="707"/>
      <c r="ECI36" s="707"/>
      <c r="ECJ36" s="707"/>
      <c r="ECK36" s="707"/>
      <c r="ECL36" s="707"/>
      <c r="ECM36" s="707"/>
      <c r="ECN36" s="707"/>
      <c r="ECO36" s="707"/>
      <c r="ECP36" s="707"/>
      <c r="ECQ36" s="707"/>
      <c r="ECR36" s="707"/>
      <c r="ECS36" s="707"/>
      <c r="ECT36" s="707"/>
      <c r="ECU36" s="707"/>
      <c r="ECV36" s="707"/>
      <c r="ECW36" s="707"/>
      <c r="ECX36" s="707"/>
      <c r="ECY36" s="707"/>
      <c r="ECZ36" s="707"/>
      <c r="EDA36" s="707"/>
      <c r="EDB36" s="707"/>
      <c r="EDC36" s="707"/>
      <c r="EDD36" s="707"/>
      <c r="EDE36" s="707"/>
      <c r="EDF36" s="707"/>
      <c r="EDG36" s="707"/>
      <c r="EDH36" s="707"/>
      <c r="EDI36" s="707"/>
      <c r="EDJ36" s="707"/>
      <c r="EDK36" s="707"/>
      <c r="EDL36" s="707"/>
      <c r="EDM36" s="707"/>
      <c r="EDN36" s="707"/>
      <c r="EDO36" s="707"/>
      <c r="EDP36" s="707"/>
      <c r="EDQ36" s="707"/>
      <c r="EDR36" s="707"/>
      <c r="EDS36" s="707"/>
      <c r="EDT36" s="707"/>
      <c r="EDU36" s="707"/>
      <c r="EDV36" s="707"/>
      <c r="EDW36" s="707"/>
      <c r="EDX36" s="707"/>
      <c r="EDY36" s="707"/>
      <c r="EDZ36" s="707"/>
      <c r="EEA36" s="707"/>
      <c r="EEB36" s="707"/>
      <c r="EEC36" s="707"/>
      <c r="EED36" s="707"/>
      <c r="EEE36" s="707"/>
      <c r="EEF36" s="707"/>
      <c r="EEG36" s="707"/>
      <c r="EEH36" s="707"/>
      <c r="EEI36" s="707"/>
      <c r="EEJ36" s="707"/>
      <c r="EEK36" s="707"/>
      <c r="EEL36" s="707"/>
      <c r="EEM36" s="707"/>
      <c r="EEN36" s="707"/>
      <c r="EEO36" s="707"/>
      <c r="EEP36" s="707"/>
      <c r="EEQ36" s="707"/>
      <c r="EER36" s="707"/>
      <c r="EES36" s="707"/>
      <c r="EET36" s="707"/>
      <c r="EEU36" s="707"/>
      <c r="EEV36" s="707"/>
      <c r="EEW36" s="707"/>
      <c r="EEX36" s="707"/>
      <c r="EEY36" s="707"/>
      <c r="EEZ36" s="707"/>
      <c r="EFA36" s="707"/>
      <c r="EFB36" s="707"/>
      <c r="EFC36" s="707"/>
      <c r="EFD36" s="707"/>
      <c r="EFE36" s="707"/>
      <c r="EFF36" s="707"/>
      <c r="EFG36" s="707"/>
      <c r="EFH36" s="707"/>
      <c r="EFI36" s="707"/>
      <c r="EFJ36" s="707"/>
      <c r="EFK36" s="707"/>
      <c r="EFL36" s="707"/>
      <c r="EFM36" s="707"/>
      <c r="EFN36" s="707"/>
      <c r="EFO36" s="707"/>
      <c r="EFP36" s="707"/>
      <c r="EFQ36" s="707"/>
      <c r="EFR36" s="707"/>
      <c r="EFS36" s="707"/>
      <c r="EFT36" s="707"/>
      <c r="EFU36" s="707"/>
      <c r="EFV36" s="707"/>
      <c r="EFW36" s="707"/>
      <c r="EFX36" s="707"/>
      <c r="EFY36" s="707"/>
      <c r="EFZ36" s="707"/>
      <c r="EGA36" s="707"/>
      <c r="EGB36" s="707"/>
      <c r="EGC36" s="707"/>
      <c r="EGD36" s="707"/>
      <c r="EGE36" s="707"/>
      <c r="EGF36" s="707"/>
      <c r="EGG36" s="707"/>
      <c r="EGH36" s="707"/>
      <c r="EGI36" s="707"/>
      <c r="EGJ36" s="707"/>
      <c r="EGK36" s="707"/>
      <c r="EGL36" s="707"/>
      <c r="EGM36" s="707"/>
      <c r="EGN36" s="707"/>
      <c r="EGO36" s="707"/>
      <c r="EGP36" s="707"/>
      <c r="EGQ36" s="707"/>
      <c r="EGR36" s="707"/>
      <c r="EGS36" s="707"/>
      <c r="EGT36" s="707"/>
      <c r="EGU36" s="707"/>
      <c r="EGV36" s="707"/>
      <c r="EGW36" s="707"/>
      <c r="EGX36" s="707"/>
      <c r="EGY36" s="707"/>
      <c r="EGZ36" s="707"/>
      <c r="EHA36" s="707"/>
      <c r="EHB36" s="707"/>
      <c r="EHC36" s="707"/>
      <c r="EHD36" s="707"/>
      <c r="EHE36" s="707"/>
      <c r="EHF36" s="707"/>
      <c r="EHG36" s="707"/>
      <c r="EHH36" s="707"/>
      <c r="EHI36" s="707"/>
      <c r="EHJ36" s="707"/>
      <c r="EHK36" s="707"/>
      <c r="EHL36" s="707"/>
      <c r="EHM36" s="707"/>
      <c r="EHN36" s="707"/>
      <c r="EHO36" s="707"/>
      <c r="EHP36" s="707"/>
      <c r="EHQ36" s="707"/>
      <c r="EHR36" s="707"/>
      <c r="EHS36" s="707"/>
      <c r="EHT36" s="707"/>
      <c r="EHU36" s="707"/>
      <c r="EHV36" s="707"/>
      <c r="EHW36" s="707"/>
      <c r="EHX36" s="707"/>
      <c r="EHY36" s="707"/>
      <c r="EHZ36" s="707"/>
      <c r="EIA36" s="707"/>
      <c r="EIB36" s="707"/>
      <c r="EIC36" s="707"/>
      <c r="EID36" s="707"/>
      <c r="EIE36" s="707"/>
      <c r="EIF36" s="707"/>
      <c r="EIG36" s="707"/>
      <c r="EIH36" s="707"/>
      <c r="EII36" s="707"/>
      <c r="EIJ36" s="707"/>
      <c r="EIK36" s="707"/>
      <c r="EIL36" s="707"/>
      <c r="EIM36" s="707"/>
      <c r="EIN36" s="707"/>
      <c r="EIO36" s="707"/>
      <c r="EIP36" s="707"/>
      <c r="EIQ36" s="707"/>
      <c r="EIR36" s="707"/>
      <c r="EIS36" s="707"/>
      <c r="EIT36" s="707"/>
      <c r="EIU36" s="707"/>
      <c r="EIV36" s="707"/>
      <c r="EIW36" s="707"/>
      <c r="EIX36" s="707"/>
      <c r="EIY36" s="707"/>
      <c r="EIZ36" s="707"/>
      <c r="EJA36" s="707"/>
      <c r="EJB36" s="707"/>
      <c r="EJC36" s="707"/>
      <c r="EJD36" s="707"/>
      <c r="EJE36" s="707"/>
      <c r="EJF36" s="707"/>
      <c r="EJG36" s="707"/>
      <c r="EJH36" s="707"/>
      <c r="EJI36" s="707"/>
      <c r="EJJ36" s="707"/>
      <c r="EJK36" s="707"/>
      <c r="EJL36" s="707"/>
      <c r="EJM36" s="707"/>
      <c r="EJN36" s="707"/>
      <c r="EJO36" s="707"/>
      <c r="EJP36" s="707"/>
      <c r="EJQ36" s="707"/>
      <c r="EJR36" s="707"/>
      <c r="EJS36" s="707"/>
      <c r="EJT36" s="707"/>
      <c r="EJU36" s="707"/>
      <c r="EJV36" s="707"/>
      <c r="EJW36" s="707"/>
      <c r="EJX36" s="707"/>
      <c r="EJY36" s="707"/>
      <c r="EJZ36" s="707"/>
      <c r="EKA36" s="707"/>
      <c r="EKB36" s="707"/>
      <c r="EKC36" s="707"/>
      <c r="EKD36" s="707"/>
      <c r="EKE36" s="707"/>
      <c r="EKF36" s="707"/>
      <c r="EKG36" s="707"/>
      <c r="EKH36" s="707"/>
      <c r="EKI36" s="707"/>
      <c r="EKJ36" s="707"/>
      <c r="EKK36" s="707"/>
      <c r="EKL36" s="707"/>
      <c r="EKM36" s="707"/>
      <c r="EKN36" s="707"/>
      <c r="EKO36" s="707"/>
      <c r="EKP36" s="707"/>
      <c r="EKQ36" s="707"/>
      <c r="EKR36" s="707"/>
      <c r="EKS36" s="707"/>
      <c r="EKT36" s="707"/>
      <c r="EKU36" s="707"/>
      <c r="EKV36" s="707"/>
      <c r="EKW36" s="707"/>
      <c r="EKX36" s="707"/>
      <c r="EKY36" s="707"/>
      <c r="EKZ36" s="707"/>
      <c r="ELA36" s="707"/>
      <c r="ELB36" s="707"/>
      <c r="ELC36" s="707"/>
      <c r="ELD36" s="707"/>
      <c r="ELE36" s="707"/>
      <c r="ELF36" s="707"/>
      <c r="ELG36" s="707"/>
      <c r="ELH36" s="707"/>
      <c r="ELI36" s="707"/>
      <c r="ELJ36" s="707"/>
      <c r="ELK36" s="707"/>
      <c r="ELL36" s="707"/>
      <c r="ELM36" s="707"/>
      <c r="ELN36" s="707"/>
      <c r="ELO36" s="707"/>
      <c r="ELP36" s="707"/>
      <c r="ELQ36" s="707"/>
      <c r="ELR36" s="707"/>
      <c r="ELS36" s="707"/>
      <c r="ELT36" s="707"/>
      <c r="ELU36" s="707"/>
      <c r="ELV36" s="707"/>
      <c r="ELW36" s="707"/>
      <c r="ELX36" s="707"/>
      <c r="ELY36" s="707"/>
      <c r="ELZ36" s="707"/>
      <c r="EMA36" s="707"/>
      <c r="EMB36" s="707"/>
      <c r="EMC36" s="707"/>
      <c r="EMD36" s="707"/>
      <c r="EME36" s="707"/>
      <c r="EMF36" s="707"/>
      <c r="EMG36" s="707"/>
      <c r="EMH36" s="707"/>
      <c r="EMI36" s="707"/>
      <c r="EMJ36" s="707"/>
      <c r="EMK36" s="707"/>
      <c r="EML36" s="707"/>
      <c r="EMM36" s="707"/>
      <c r="EMN36" s="707"/>
      <c r="EMO36" s="707"/>
      <c r="EMP36" s="707"/>
      <c r="EMQ36" s="707"/>
      <c r="EMR36" s="707"/>
      <c r="EMS36" s="707"/>
      <c r="EMT36" s="707"/>
      <c r="EMU36" s="707"/>
      <c r="EMV36" s="707"/>
      <c r="EMW36" s="707"/>
      <c r="EMX36" s="707"/>
      <c r="EMY36" s="707"/>
      <c r="EMZ36" s="707"/>
      <c r="ENA36" s="707"/>
      <c r="ENB36" s="707"/>
      <c r="ENC36" s="707"/>
      <c r="END36" s="707"/>
      <c r="ENE36" s="707"/>
      <c r="ENF36" s="707"/>
      <c r="ENG36" s="707"/>
      <c r="ENH36" s="707"/>
      <c r="ENI36" s="707"/>
      <c r="ENJ36" s="707"/>
      <c r="ENK36" s="707"/>
      <c r="ENL36" s="707"/>
      <c r="ENM36" s="707"/>
      <c r="ENN36" s="707"/>
      <c r="ENO36" s="707"/>
      <c r="ENP36" s="707"/>
      <c r="ENQ36" s="707"/>
      <c r="ENR36" s="707"/>
      <c r="ENS36" s="707"/>
      <c r="ENT36" s="707"/>
      <c r="ENU36" s="707"/>
      <c r="ENV36" s="707"/>
      <c r="ENW36" s="707"/>
      <c r="ENX36" s="707"/>
      <c r="ENY36" s="707"/>
      <c r="ENZ36" s="707"/>
      <c r="EOA36" s="707"/>
      <c r="EOB36" s="707"/>
      <c r="EOC36" s="707"/>
      <c r="EOD36" s="707"/>
      <c r="EOE36" s="707"/>
      <c r="EOF36" s="707"/>
      <c r="EOG36" s="707"/>
      <c r="EOH36" s="707"/>
      <c r="EOI36" s="707"/>
      <c r="EOJ36" s="707"/>
      <c r="EOK36" s="707"/>
      <c r="EOL36" s="707"/>
      <c r="EOM36" s="707"/>
      <c r="EON36" s="707"/>
      <c r="EOO36" s="707"/>
      <c r="EOP36" s="707"/>
      <c r="EOQ36" s="707"/>
      <c r="EOR36" s="707"/>
      <c r="EOS36" s="707"/>
      <c r="EOT36" s="707"/>
      <c r="EOU36" s="707"/>
      <c r="EOV36" s="707"/>
      <c r="EOW36" s="707"/>
      <c r="EOX36" s="707"/>
      <c r="EOY36" s="707"/>
      <c r="EOZ36" s="707"/>
      <c r="EPA36" s="707"/>
      <c r="EPB36" s="707"/>
      <c r="EPC36" s="707"/>
      <c r="EPD36" s="707"/>
      <c r="EPE36" s="707"/>
      <c r="EPF36" s="707"/>
      <c r="EPG36" s="707"/>
      <c r="EPH36" s="707"/>
      <c r="EPI36" s="707"/>
      <c r="EPJ36" s="707"/>
      <c r="EPK36" s="707"/>
      <c r="EPL36" s="707"/>
      <c r="EPM36" s="707"/>
      <c r="EPN36" s="707"/>
      <c r="EPO36" s="707"/>
      <c r="EPP36" s="707"/>
      <c r="EPQ36" s="707"/>
      <c r="EPR36" s="707"/>
      <c r="EPS36" s="707"/>
      <c r="EPT36" s="707"/>
      <c r="EPU36" s="707"/>
      <c r="EPV36" s="707"/>
      <c r="EPW36" s="707"/>
      <c r="EPX36" s="707"/>
      <c r="EPY36" s="707"/>
      <c r="EPZ36" s="707"/>
      <c r="EQA36" s="707"/>
      <c r="EQB36" s="707"/>
      <c r="EQC36" s="707"/>
      <c r="EQD36" s="707"/>
      <c r="EQE36" s="707"/>
      <c r="EQF36" s="707"/>
      <c r="EQG36" s="707"/>
      <c r="EQH36" s="707"/>
      <c r="EQI36" s="707"/>
      <c r="EQJ36" s="707"/>
      <c r="EQK36" s="707"/>
      <c r="EQL36" s="707"/>
      <c r="EQM36" s="707"/>
      <c r="EQN36" s="707"/>
      <c r="EQO36" s="707"/>
      <c r="EQP36" s="707"/>
      <c r="EQQ36" s="707"/>
      <c r="EQR36" s="707"/>
      <c r="EQS36" s="707"/>
      <c r="EQT36" s="707"/>
      <c r="EQU36" s="707"/>
      <c r="EQV36" s="707"/>
      <c r="EQW36" s="707"/>
      <c r="EQX36" s="707"/>
      <c r="EQY36" s="707"/>
      <c r="EQZ36" s="707"/>
      <c r="ERA36" s="707"/>
      <c r="ERB36" s="707"/>
      <c r="ERC36" s="707"/>
      <c r="ERD36" s="707"/>
      <c r="ERE36" s="707"/>
      <c r="ERF36" s="707"/>
      <c r="ERG36" s="707"/>
      <c r="ERH36" s="707"/>
      <c r="ERI36" s="707"/>
      <c r="ERJ36" s="707"/>
      <c r="ERK36" s="707"/>
      <c r="ERL36" s="707"/>
      <c r="ERM36" s="707"/>
      <c r="ERN36" s="707"/>
      <c r="ERO36" s="707"/>
      <c r="ERP36" s="707"/>
      <c r="ERQ36" s="707"/>
      <c r="ERR36" s="707"/>
      <c r="ERS36" s="707"/>
      <c r="ERT36" s="707"/>
      <c r="ERU36" s="707"/>
      <c r="ERV36" s="707"/>
      <c r="ERW36" s="707"/>
      <c r="ERX36" s="707"/>
      <c r="ERY36" s="707"/>
      <c r="ERZ36" s="707"/>
      <c r="ESA36" s="707"/>
      <c r="ESB36" s="707"/>
      <c r="ESC36" s="707"/>
      <c r="ESD36" s="707"/>
      <c r="ESE36" s="707"/>
      <c r="ESF36" s="707"/>
      <c r="ESG36" s="707"/>
      <c r="ESH36" s="707"/>
      <c r="ESI36" s="707"/>
      <c r="ESJ36" s="707"/>
      <c r="ESK36" s="707"/>
      <c r="ESL36" s="707"/>
      <c r="ESM36" s="707"/>
      <c r="ESN36" s="707"/>
      <c r="ESO36" s="707"/>
      <c r="ESP36" s="707"/>
      <c r="ESQ36" s="707"/>
      <c r="ESR36" s="707"/>
      <c r="ESS36" s="707"/>
      <c r="EST36" s="707"/>
      <c r="ESU36" s="707"/>
      <c r="ESV36" s="707"/>
      <c r="ESW36" s="707"/>
      <c r="ESX36" s="707"/>
      <c r="ESY36" s="707"/>
      <c r="ESZ36" s="707"/>
      <c r="ETA36" s="707"/>
      <c r="ETB36" s="707"/>
      <c r="ETC36" s="707"/>
      <c r="ETD36" s="707"/>
      <c r="ETE36" s="707"/>
      <c r="ETF36" s="707"/>
      <c r="ETG36" s="707"/>
      <c r="ETH36" s="707"/>
      <c r="ETI36" s="707"/>
      <c r="ETJ36" s="707"/>
      <c r="ETK36" s="707"/>
      <c r="ETL36" s="707"/>
      <c r="ETM36" s="707"/>
      <c r="ETN36" s="707"/>
      <c r="ETO36" s="707"/>
      <c r="ETP36" s="707"/>
      <c r="ETQ36" s="707"/>
      <c r="ETR36" s="707"/>
      <c r="ETS36" s="707"/>
      <c r="ETT36" s="707"/>
      <c r="ETU36" s="707"/>
      <c r="ETV36" s="707"/>
      <c r="ETW36" s="707"/>
      <c r="ETX36" s="707"/>
      <c r="ETY36" s="707"/>
      <c r="ETZ36" s="707"/>
      <c r="EUA36" s="707"/>
      <c r="EUB36" s="707"/>
      <c r="EUC36" s="707"/>
      <c r="EUD36" s="707"/>
      <c r="EUE36" s="707"/>
      <c r="EUF36" s="707"/>
      <c r="EUG36" s="707"/>
      <c r="EUH36" s="707"/>
      <c r="EUI36" s="707"/>
      <c r="EUJ36" s="707"/>
      <c r="EUK36" s="707"/>
      <c r="EUL36" s="707"/>
      <c r="EUM36" s="707"/>
      <c r="EUN36" s="707"/>
      <c r="EUO36" s="707"/>
      <c r="EUP36" s="707"/>
      <c r="EUQ36" s="707"/>
      <c r="EUR36" s="707"/>
      <c r="EUS36" s="707"/>
      <c r="EUT36" s="707"/>
      <c r="EUU36" s="707"/>
      <c r="EUV36" s="707"/>
      <c r="EUW36" s="707"/>
      <c r="EUX36" s="707"/>
      <c r="EUY36" s="707"/>
      <c r="EUZ36" s="707"/>
      <c r="EVA36" s="707"/>
      <c r="EVB36" s="707"/>
      <c r="EVC36" s="707"/>
      <c r="EVD36" s="707"/>
      <c r="EVE36" s="707"/>
      <c r="EVF36" s="707"/>
      <c r="EVG36" s="707"/>
      <c r="EVH36" s="707"/>
      <c r="EVI36" s="707"/>
      <c r="EVJ36" s="707"/>
      <c r="EVK36" s="707"/>
      <c r="EVL36" s="707"/>
      <c r="EVM36" s="707"/>
      <c r="EVN36" s="707"/>
      <c r="EVO36" s="707"/>
      <c r="EVP36" s="707"/>
      <c r="EVQ36" s="707"/>
      <c r="EVR36" s="707"/>
      <c r="EVS36" s="707"/>
      <c r="EVT36" s="707"/>
      <c r="EVU36" s="707"/>
      <c r="EVV36" s="707"/>
      <c r="EVW36" s="707"/>
      <c r="EVX36" s="707"/>
      <c r="EVY36" s="707"/>
      <c r="EVZ36" s="707"/>
      <c r="EWA36" s="707"/>
      <c r="EWB36" s="707"/>
      <c r="EWC36" s="707"/>
      <c r="EWD36" s="707"/>
      <c r="EWE36" s="707"/>
      <c r="EWF36" s="707"/>
      <c r="EWG36" s="707"/>
      <c r="EWH36" s="707"/>
      <c r="EWI36" s="707"/>
      <c r="EWJ36" s="707"/>
      <c r="EWK36" s="707"/>
      <c r="EWL36" s="707"/>
      <c r="EWM36" s="707"/>
      <c r="EWN36" s="707"/>
      <c r="EWO36" s="707"/>
      <c r="EWP36" s="707"/>
      <c r="EWQ36" s="707"/>
      <c r="EWR36" s="707"/>
      <c r="EWS36" s="707"/>
      <c r="EWT36" s="707"/>
      <c r="EWU36" s="707"/>
      <c r="EWV36" s="707"/>
      <c r="EWW36" s="707"/>
      <c r="EWX36" s="707"/>
      <c r="EWY36" s="707"/>
      <c r="EWZ36" s="707"/>
      <c r="EXA36" s="707"/>
      <c r="EXB36" s="707"/>
      <c r="EXC36" s="707"/>
      <c r="EXD36" s="707"/>
      <c r="EXE36" s="707"/>
      <c r="EXF36" s="707"/>
      <c r="EXG36" s="707"/>
      <c r="EXH36" s="707"/>
      <c r="EXI36" s="707"/>
      <c r="EXJ36" s="707"/>
      <c r="EXK36" s="707"/>
      <c r="EXL36" s="707"/>
      <c r="EXM36" s="707"/>
      <c r="EXN36" s="707"/>
      <c r="EXO36" s="707"/>
      <c r="EXP36" s="707"/>
      <c r="EXQ36" s="707"/>
      <c r="EXR36" s="707"/>
      <c r="EXS36" s="707"/>
      <c r="EXT36" s="707"/>
      <c r="EXU36" s="707"/>
      <c r="EXV36" s="707"/>
      <c r="EXW36" s="707"/>
      <c r="EXX36" s="707"/>
      <c r="EXY36" s="707"/>
      <c r="EXZ36" s="707"/>
      <c r="EYA36" s="707"/>
      <c r="EYB36" s="707"/>
      <c r="EYC36" s="707"/>
      <c r="EYD36" s="707"/>
      <c r="EYE36" s="707"/>
      <c r="EYF36" s="707"/>
      <c r="EYG36" s="707"/>
      <c r="EYH36" s="707"/>
      <c r="EYI36" s="707"/>
      <c r="EYJ36" s="707"/>
      <c r="EYK36" s="707"/>
      <c r="EYL36" s="707"/>
      <c r="EYM36" s="707"/>
      <c r="EYN36" s="707"/>
      <c r="EYO36" s="707"/>
      <c r="EYP36" s="707"/>
      <c r="EYQ36" s="707"/>
      <c r="EYR36" s="707"/>
      <c r="EYS36" s="707"/>
      <c r="EYT36" s="707"/>
      <c r="EYU36" s="707"/>
      <c r="EYV36" s="707"/>
      <c r="EYW36" s="707"/>
      <c r="EYX36" s="707"/>
      <c r="EYY36" s="707"/>
      <c r="EYZ36" s="707"/>
      <c r="EZA36" s="707"/>
      <c r="EZB36" s="707"/>
      <c r="EZC36" s="707"/>
      <c r="EZD36" s="707"/>
      <c r="EZE36" s="707"/>
      <c r="EZF36" s="707"/>
      <c r="EZG36" s="707"/>
      <c r="EZH36" s="707"/>
      <c r="EZI36" s="707"/>
      <c r="EZJ36" s="707"/>
      <c r="EZK36" s="707"/>
      <c r="EZL36" s="707"/>
      <c r="EZM36" s="707"/>
      <c r="EZN36" s="707"/>
      <c r="EZO36" s="707"/>
      <c r="EZP36" s="707"/>
      <c r="EZQ36" s="707"/>
      <c r="EZR36" s="707"/>
      <c r="EZS36" s="707"/>
      <c r="EZT36" s="707"/>
      <c r="EZU36" s="707"/>
      <c r="EZV36" s="707"/>
      <c r="EZW36" s="707"/>
      <c r="EZX36" s="707"/>
      <c r="EZY36" s="707"/>
      <c r="EZZ36" s="707"/>
      <c r="FAA36" s="707"/>
      <c r="FAB36" s="707"/>
      <c r="FAC36" s="707"/>
      <c r="FAD36" s="707"/>
      <c r="FAE36" s="707"/>
      <c r="FAF36" s="707"/>
      <c r="FAG36" s="707"/>
      <c r="FAH36" s="707"/>
      <c r="FAI36" s="707"/>
      <c r="FAJ36" s="707"/>
      <c r="FAK36" s="707"/>
      <c r="FAL36" s="707"/>
      <c r="FAM36" s="707"/>
      <c r="FAN36" s="707"/>
      <c r="FAO36" s="707"/>
      <c r="FAP36" s="707"/>
      <c r="FAQ36" s="707"/>
      <c r="FAR36" s="707"/>
      <c r="FAS36" s="707"/>
      <c r="FAT36" s="707"/>
      <c r="FAU36" s="707"/>
      <c r="FAV36" s="707"/>
      <c r="FAW36" s="707"/>
      <c r="FAX36" s="707"/>
      <c r="FAY36" s="707"/>
      <c r="FAZ36" s="707"/>
      <c r="FBA36" s="707"/>
      <c r="FBB36" s="707"/>
      <c r="FBC36" s="707"/>
      <c r="FBD36" s="707"/>
      <c r="FBE36" s="707"/>
      <c r="FBF36" s="707"/>
      <c r="FBG36" s="707"/>
      <c r="FBH36" s="707"/>
      <c r="FBI36" s="707"/>
      <c r="FBJ36" s="707"/>
      <c r="FBK36" s="707"/>
      <c r="FBL36" s="707"/>
      <c r="FBM36" s="707"/>
      <c r="FBN36" s="707"/>
      <c r="FBO36" s="707"/>
      <c r="FBP36" s="707"/>
      <c r="FBQ36" s="707"/>
      <c r="FBR36" s="707"/>
      <c r="FBS36" s="707"/>
      <c r="FBT36" s="707"/>
      <c r="FBU36" s="707"/>
      <c r="FBV36" s="707"/>
      <c r="FBW36" s="707"/>
      <c r="FBX36" s="707"/>
      <c r="FBY36" s="707"/>
      <c r="FBZ36" s="707"/>
      <c r="FCA36" s="707"/>
      <c r="FCB36" s="707"/>
      <c r="FCC36" s="707"/>
      <c r="FCD36" s="707"/>
      <c r="FCE36" s="707"/>
      <c r="FCF36" s="707"/>
      <c r="FCG36" s="707"/>
      <c r="FCH36" s="707"/>
      <c r="FCI36" s="707"/>
      <c r="FCJ36" s="707"/>
      <c r="FCK36" s="707"/>
      <c r="FCL36" s="707"/>
      <c r="FCM36" s="707"/>
      <c r="FCN36" s="707"/>
      <c r="FCO36" s="707"/>
      <c r="FCP36" s="707"/>
      <c r="FCQ36" s="707"/>
      <c r="FCR36" s="707"/>
      <c r="FCS36" s="707"/>
      <c r="FCT36" s="707"/>
      <c r="FCU36" s="707"/>
      <c r="FCV36" s="707"/>
      <c r="FCW36" s="707"/>
      <c r="FCX36" s="707"/>
      <c r="FCY36" s="707"/>
      <c r="FCZ36" s="707"/>
      <c r="FDA36" s="707"/>
      <c r="FDB36" s="707"/>
      <c r="FDC36" s="707"/>
      <c r="FDD36" s="707"/>
      <c r="FDE36" s="707"/>
      <c r="FDF36" s="707"/>
      <c r="FDG36" s="707"/>
      <c r="FDH36" s="707"/>
      <c r="FDI36" s="707"/>
      <c r="FDJ36" s="707"/>
      <c r="FDK36" s="707"/>
      <c r="FDL36" s="707"/>
      <c r="FDM36" s="707"/>
      <c r="FDN36" s="707"/>
      <c r="FDO36" s="707"/>
      <c r="FDP36" s="707"/>
      <c r="FDQ36" s="707"/>
      <c r="FDR36" s="707"/>
      <c r="FDS36" s="707"/>
      <c r="FDT36" s="707"/>
      <c r="FDU36" s="707"/>
      <c r="FDV36" s="707"/>
      <c r="FDW36" s="707"/>
      <c r="FDX36" s="707"/>
      <c r="FDY36" s="707"/>
      <c r="FDZ36" s="707"/>
      <c r="FEA36" s="707"/>
      <c r="FEB36" s="707"/>
      <c r="FEC36" s="707"/>
      <c r="FED36" s="707"/>
      <c r="FEE36" s="707"/>
      <c r="FEF36" s="707"/>
      <c r="FEG36" s="707"/>
      <c r="FEH36" s="707"/>
      <c r="FEI36" s="707"/>
      <c r="FEJ36" s="707"/>
      <c r="FEK36" s="707"/>
      <c r="FEL36" s="707"/>
      <c r="FEM36" s="707"/>
      <c r="FEN36" s="707"/>
      <c r="FEO36" s="707"/>
      <c r="FEP36" s="707"/>
      <c r="FEQ36" s="707"/>
      <c r="FER36" s="707"/>
      <c r="FES36" s="707"/>
      <c r="FET36" s="707"/>
      <c r="FEU36" s="707"/>
      <c r="FEV36" s="707"/>
      <c r="FEW36" s="707"/>
      <c r="FEX36" s="707"/>
      <c r="FEY36" s="707"/>
      <c r="FEZ36" s="707"/>
      <c r="FFA36" s="707"/>
      <c r="FFB36" s="707"/>
      <c r="FFC36" s="707"/>
      <c r="FFD36" s="707"/>
      <c r="FFE36" s="707"/>
      <c r="FFF36" s="707"/>
      <c r="FFG36" s="707"/>
      <c r="FFH36" s="707"/>
      <c r="FFI36" s="707"/>
      <c r="FFJ36" s="707"/>
      <c r="FFK36" s="707"/>
      <c r="FFL36" s="707"/>
      <c r="FFM36" s="707"/>
      <c r="FFN36" s="707"/>
      <c r="FFO36" s="707"/>
      <c r="FFP36" s="707"/>
      <c r="FFQ36" s="707"/>
      <c r="FFR36" s="707"/>
      <c r="FFS36" s="707"/>
      <c r="FFT36" s="707"/>
      <c r="FFU36" s="707"/>
      <c r="FFV36" s="707"/>
      <c r="FFW36" s="707"/>
      <c r="FFX36" s="707"/>
      <c r="FFY36" s="707"/>
      <c r="FFZ36" s="707"/>
      <c r="FGA36" s="707"/>
      <c r="FGB36" s="707"/>
      <c r="FGC36" s="707"/>
      <c r="FGD36" s="707"/>
      <c r="FGE36" s="707"/>
      <c r="FGF36" s="707"/>
      <c r="FGG36" s="707"/>
      <c r="FGH36" s="707"/>
      <c r="FGI36" s="707"/>
      <c r="FGJ36" s="707"/>
      <c r="FGK36" s="707"/>
      <c r="FGL36" s="707"/>
      <c r="FGM36" s="707"/>
      <c r="FGN36" s="707"/>
      <c r="FGO36" s="707"/>
      <c r="FGP36" s="707"/>
      <c r="FGQ36" s="707"/>
      <c r="FGR36" s="707"/>
      <c r="FGS36" s="707"/>
      <c r="FGT36" s="707"/>
      <c r="FGU36" s="707"/>
      <c r="FGV36" s="707"/>
      <c r="FGW36" s="707"/>
      <c r="FGX36" s="707"/>
      <c r="FGY36" s="707"/>
      <c r="FGZ36" s="707"/>
      <c r="FHA36" s="707"/>
      <c r="FHB36" s="707"/>
      <c r="FHC36" s="707"/>
      <c r="FHD36" s="707"/>
      <c r="FHE36" s="707"/>
      <c r="FHF36" s="707"/>
      <c r="FHG36" s="707"/>
      <c r="FHH36" s="707"/>
      <c r="FHI36" s="707"/>
      <c r="FHJ36" s="707"/>
      <c r="FHK36" s="707"/>
      <c r="FHL36" s="707"/>
      <c r="FHM36" s="707"/>
      <c r="FHN36" s="707"/>
      <c r="FHO36" s="707"/>
      <c r="FHP36" s="707"/>
      <c r="FHQ36" s="707"/>
      <c r="FHR36" s="707"/>
      <c r="FHS36" s="707"/>
      <c r="FHT36" s="707"/>
      <c r="FHU36" s="707"/>
      <c r="FHV36" s="707"/>
      <c r="FHW36" s="707"/>
      <c r="FHX36" s="707"/>
      <c r="FHY36" s="707"/>
      <c r="FHZ36" s="707"/>
      <c r="FIA36" s="707"/>
      <c r="FIB36" s="707"/>
      <c r="FIC36" s="707"/>
      <c r="FID36" s="707"/>
      <c r="FIE36" s="707"/>
      <c r="FIF36" s="707"/>
      <c r="FIG36" s="707"/>
      <c r="FIH36" s="707"/>
      <c r="FII36" s="707"/>
      <c r="FIJ36" s="707"/>
      <c r="FIK36" s="707"/>
      <c r="FIL36" s="707"/>
      <c r="FIM36" s="707"/>
      <c r="FIN36" s="707"/>
      <c r="FIO36" s="707"/>
      <c r="FIP36" s="707"/>
      <c r="FIQ36" s="707"/>
      <c r="FIR36" s="707"/>
      <c r="FIS36" s="707"/>
      <c r="FIT36" s="707"/>
      <c r="FIU36" s="707"/>
      <c r="FIV36" s="707"/>
      <c r="FIW36" s="707"/>
      <c r="FIX36" s="707"/>
      <c r="FIY36" s="707"/>
      <c r="FIZ36" s="707"/>
      <c r="FJA36" s="707"/>
      <c r="FJB36" s="707"/>
      <c r="FJC36" s="707"/>
      <c r="FJD36" s="707"/>
      <c r="FJE36" s="707"/>
      <c r="FJF36" s="707"/>
      <c r="FJG36" s="707"/>
      <c r="FJH36" s="707"/>
      <c r="FJI36" s="707"/>
      <c r="FJJ36" s="707"/>
      <c r="FJK36" s="707"/>
      <c r="FJL36" s="707"/>
      <c r="FJM36" s="707"/>
      <c r="FJN36" s="707"/>
      <c r="FJO36" s="707"/>
      <c r="FJP36" s="707"/>
      <c r="FJQ36" s="707"/>
      <c r="FJR36" s="707"/>
      <c r="FJS36" s="707"/>
      <c r="FJT36" s="707"/>
      <c r="FJU36" s="707"/>
      <c r="FJV36" s="707"/>
      <c r="FJW36" s="707"/>
      <c r="FJX36" s="707"/>
      <c r="FJY36" s="707"/>
      <c r="FJZ36" s="707"/>
      <c r="FKA36" s="707"/>
      <c r="FKB36" s="707"/>
      <c r="FKC36" s="707"/>
      <c r="FKD36" s="707"/>
      <c r="FKE36" s="707"/>
      <c r="FKF36" s="707"/>
      <c r="FKG36" s="707"/>
      <c r="FKH36" s="707"/>
      <c r="FKI36" s="707"/>
      <c r="FKJ36" s="707"/>
      <c r="FKK36" s="707"/>
      <c r="FKL36" s="707"/>
      <c r="FKM36" s="707"/>
      <c r="FKN36" s="707"/>
      <c r="FKO36" s="707"/>
      <c r="FKP36" s="707"/>
      <c r="FKQ36" s="707"/>
      <c r="FKR36" s="707"/>
      <c r="FKS36" s="707"/>
      <c r="FKT36" s="707"/>
      <c r="FKU36" s="707"/>
      <c r="FKV36" s="707"/>
      <c r="FKW36" s="707"/>
      <c r="FKX36" s="707"/>
      <c r="FKY36" s="707"/>
      <c r="FKZ36" s="707"/>
      <c r="FLA36" s="707"/>
      <c r="FLB36" s="707"/>
      <c r="FLC36" s="707"/>
      <c r="FLD36" s="707"/>
      <c r="FLE36" s="707"/>
      <c r="FLF36" s="707"/>
      <c r="FLG36" s="707"/>
      <c r="FLH36" s="707"/>
      <c r="FLI36" s="707"/>
      <c r="FLJ36" s="707"/>
      <c r="FLK36" s="707"/>
      <c r="FLL36" s="707"/>
      <c r="FLM36" s="707"/>
      <c r="FLN36" s="707"/>
      <c r="FLO36" s="707"/>
      <c r="FLP36" s="707"/>
      <c r="FLQ36" s="707"/>
      <c r="FLR36" s="707"/>
      <c r="FLS36" s="707"/>
      <c r="FLT36" s="707"/>
      <c r="FLU36" s="707"/>
      <c r="FLV36" s="707"/>
      <c r="FLW36" s="707"/>
      <c r="FLX36" s="707"/>
      <c r="FLY36" s="707"/>
      <c r="FLZ36" s="707"/>
      <c r="FMA36" s="707"/>
      <c r="FMB36" s="707"/>
      <c r="FMC36" s="707"/>
      <c r="FMD36" s="707"/>
      <c r="FME36" s="707"/>
      <c r="FMF36" s="707"/>
      <c r="FMG36" s="707"/>
      <c r="FMH36" s="707"/>
      <c r="FMI36" s="707"/>
      <c r="FMJ36" s="707"/>
      <c r="FMK36" s="707"/>
      <c r="FML36" s="707"/>
      <c r="FMM36" s="707"/>
      <c r="FMN36" s="707"/>
      <c r="FMO36" s="707"/>
      <c r="FMP36" s="707"/>
      <c r="FMQ36" s="707"/>
      <c r="FMR36" s="707"/>
      <c r="FMS36" s="707"/>
      <c r="FMT36" s="707"/>
      <c r="FMU36" s="707"/>
      <c r="FMV36" s="707"/>
      <c r="FMW36" s="707"/>
      <c r="FMX36" s="707"/>
      <c r="FMY36" s="707"/>
      <c r="FMZ36" s="707"/>
      <c r="FNA36" s="707"/>
      <c r="FNB36" s="707"/>
      <c r="FNC36" s="707"/>
      <c r="FND36" s="707"/>
      <c r="FNE36" s="707"/>
      <c r="FNF36" s="707"/>
      <c r="FNG36" s="707"/>
      <c r="FNH36" s="707"/>
      <c r="FNI36" s="707"/>
      <c r="FNJ36" s="707"/>
      <c r="FNK36" s="707"/>
      <c r="FNL36" s="707"/>
      <c r="FNM36" s="707"/>
      <c r="FNN36" s="707"/>
      <c r="FNO36" s="707"/>
      <c r="FNP36" s="707"/>
      <c r="FNQ36" s="707"/>
      <c r="FNR36" s="707"/>
      <c r="FNS36" s="707"/>
      <c r="FNT36" s="707"/>
      <c r="FNU36" s="707"/>
      <c r="FNV36" s="707"/>
      <c r="FNW36" s="707"/>
      <c r="FNX36" s="707"/>
      <c r="FNY36" s="707"/>
      <c r="FNZ36" s="707"/>
      <c r="FOA36" s="707"/>
      <c r="FOB36" s="707"/>
      <c r="FOC36" s="707"/>
      <c r="FOD36" s="707"/>
      <c r="FOE36" s="707"/>
      <c r="FOF36" s="707"/>
      <c r="FOG36" s="707"/>
      <c r="FOH36" s="707"/>
      <c r="FOI36" s="707"/>
      <c r="FOJ36" s="707"/>
      <c r="FOK36" s="707"/>
      <c r="FOL36" s="707"/>
      <c r="FOM36" s="707"/>
      <c r="FON36" s="707"/>
      <c r="FOO36" s="707"/>
      <c r="FOP36" s="707"/>
      <c r="FOQ36" s="707"/>
      <c r="FOR36" s="707"/>
      <c r="FOS36" s="707"/>
      <c r="FOT36" s="707"/>
      <c r="FOU36" s="707"/>
      <c r="FOV36" s="707"/>
      <c r="FOW36" s="707"/>
      <c r="FOX36" s="707"/>
      <c r="FOY36" s="707"/>
      <c r="FOZ36" s="707"/>
      <c r="FPA36" s="707"/>
      <c r="FPB36" s="707"/>
      <c r="FPC36" s="707"/>
      <c r="FPD36" s="707"/>
      <c r="FPE36" s="707"/>
      <c r="FPF36" s="707"/>
      <c r="FPG36" s="707"/>
      <c r="FPH36" s="707"/>
      <c r="FPI36" s="707"/>
      <c r="FPJ36" s="707"/>
      <c r="FPK36" s="707"/>
      <c r="FPL36" s="707"/>
      <c r="FPM36" s="707"/>
      <c r="FPN36" s="707"/>
      <c r="FPO36" s="707"/>
      <c r="FPP36" s="707"/>
      <c r="FPQ36" s="707"/>
      <c r="FPR36" s="707"/>
      <c r="FPS36" s="707"/>
      <c r="FPT36" s="707"/>
      <c r="FPU36" s="707"/>
      <c r="FPV36" s="707"/>
      <c r="FPW36" s="707"/>
      <c r="FPX36" s="707"/>
      <c r="FPY36" s="707"/>
      <c r="FPZ36" s="707"/>
      <c r="FQA36" s="707"/>
      <c r="FQB36" s="707"/>
      <c r="FQC36" s="707"/>
      <c r="FQD36" s="707"/>
      <c r="FQE36" s="707"/>
      <c r="FQF36" s="707"/>
      <c r="FQG36" s="707"/>
      <c r="FQH36" s="707"/>
      <c r="FQI36" s="707"/>
      <c r="FQJ36" s="707"/>
      <c r="FQK36" s="707"/>
      <c r="FQL36" s="707"/>
      <c r="FQM36" s="707"/>
      <c r="FQN36" s="707"/>
      <c r="FQO36" s="707"/>
      <c r="FQP36" s="707"/>
      <c r="FQQ36" s="707"/>
      <c r="FQR36" s="707"/>
      <c r="FQS36" s="707"/>
      <c r="FQT36" s="707"/>
      <c r="FQU36" s="707"/>
      <c r="FQV36" s="707"/>
      <c r="FQW36" s="707"/>
      <c r="FQX36" s="707"/>
      <c r="FQY36" s="707"/>
      <c r="FQZ36" s="707"/>
      <c r="FRA36" s="707"/>
      <c r="FRB36" s="707"/>
      <c r="FRC36" s="707"/>
      <c r="FRD36" s="707"/>
      <c r="FRE36" s="707"/>
      <c r="FRF36" s="707"/>
      <c r="FRG36" s="707"/>
      <c r="FRH36" s="707"/>
      <c r="FRI36" s="707"/>
      <c r="FRJ36" s="707"/>
      <c r="FRK36" s="707"/>
      <c r="FRL36" s="707"/>
      <c r="FRM36" s="707"/>
      <c r="FRN36" s="707"/>
      <c r="FRO36" s="707"/>
      <c r="FRP36" s="707"/>
      <c r="FRQ36" s="707"/>
      <c r="FRR36" s="707"/>
      <c r="FRS36" s="707"/>
      <c r="FRT36" s="707"/>
      <c r="FRU36" s="707"/>
      <c r="FRV36" s="707"/>
      <c r="FRW36" s="707"/>
      <c r="FRX36" s="707"/>
      <c r="FRY36" s="707"/>
      <c r="FRZ36" s="707"/>
      <c r="FSA36" s="707"/>
      <c r="FSB36" s="707"/>
      <c r="FSC36" s="707"/>
      <c r="FSD36" s="707"/>
      <c r="FSE36" s="707"/>
      <c r="FSF36" s="707"/>
      <c r="FSG36" s="707"/>
      <c r="FSH36" s="707"/>
      <c r="FSI36" s="707"/>
      <c r="FSJ36" s="707"/>
      <c r="FSK36" s="707"/>
      <c r="FSL36" s="707"/>
      <c r="FSM36" s="707"/>
      <c r="FSN36" s="707"/>
      <c r="FSO36" s="707"/>
      <c r="FSP36" s="707"/>
      <c r="FSQ36" s="707"/>
      <c r="FSR36" s="707"/>
      <c r="FSS36" s="707"/>
      <c r="FST36" s="707"/>
      <c r="FSU36" s="707"/>
      <c r="FSV36" s="707"/>
      <c r="FSW36" s="707"/>
      <c r="FSX36" s="707"/>
      <c r="FSY36" s="707"/>
      <c r="FSZ36" s="707"/>
      <c r="FTA36" s="707"/>
      <c r="FTB36" s="707"/>
      <c r="FTC36" s="707"/>
      <c r="FTD36" s="707"/>
      <c r="FTE36" s="707"/>
      <c r="FTF36" s="707"/>
      <c r="FTG36" s="707"/>
      <c r="FTH36" s="707"/>
      <c r="FTI36" s="707"/>
      <c r="FTJ36" s="707"/>
      <c r="FTK36" s="707"/>
      <c r="FTL36" s="707"/>
      <c r="FTM36" s="707"/>
      <c r="FTN36" s="707"/>
      <c r="FTO36" s="707"/>
      <c r="FTP36" s="707"/>
      <c r="FTQ36" s="707"/>
      <c r="FTR36" s="707"/>
      <c r="FTS36" s="707"/>
      <c r="FTT36" s="707"/>
      <c r="FTU36" s="707"/>
      <c r="FTV36" s="707"/>
      <c r="FTW36" s="707"/>
      <c r="FTX36" s="707"/>
      <c r="FTY36" s="707"/>
      <c r="FTZ36" s="707"/>
      <c r="FUA36" s="707"/>
      <c r="FUB36" s="707"/>
      <c r="FUC36" s="707"/>
      <c r="FUD36" s="707"/>
      <c r="FUE36" s="707"/>
      <c r="FUF36" s="707"/>
      <c r="FUG36" s="707"/>
      <c r="FUH36" s="707"/>
      <c r="FUI36" s="707"/>
      <c r="FUJ36" s="707"/>
      <c r="FUK36" s="707"/>
      <c r="FUL36" s="707"/>
      <c r="FUM36" s="707"/>
      <c r="FUN36" s="707"/>
      <c r="FUO36" s="707"/>
      <c r="FUP36" s="707"/>
      <c r="FUQ36" s="707"/>
      <c r="FUR36" s="707"/>
      <c r="FUS36" s="707"/>
      <c r="FUT36" s="707"/>
      <c r="FUU36" s="707"/>
      <c r="FUV36" s="707"/>
      <c r="FUW36" s="707"/>
      <c r="FUX36" s="707"/>
      <c r="FUY36" s="707"/>
      <c r="FUZ36" s="707"/>
      <c r="FVA36" s="707"/>
      <c r="FVB36" s="707"/>
      <c r="FVC36" s="707"/>
      <c r="FVD36" s="707"/>
      <c r="FVE36" s="707"/>
      <c r="FVF36" s="707"/>
      <c r="FVG36" s="707"/>
      <c r="FVH36" s="707"/>
      <c r="FVI36" s="707"/>
      <c r="FVJ36" s="707"/>
      <c r="FVK36" s="707"/>
      <c r="FVL36" s="707"/>
      <c r="FVM36" s="707"/>
      <c r="FVN36" s="707"/>
      <c r="FVO36" s="707"/>
      <c r="FVP36" s="707"/>
      <c r="FVQ36" s="707"/>
      <c r="FVR36" s="707"/>
      <c r="FVS36" s="707"/>
      <c r="FVT36" s="707"/>
      <c r="FVU36" s="707"/>
      <c r="FVV36" s="707"/>
      <c r="FVW36" s="707"/>
      <c r="FVX36" s="707"/>
      <c r="FVY36" s="707"/>
      <c r="FVZ36" s="707"/>
      <c r="FWA36" s="707"/>
      <c r="FWB36" s="707"/>
      <c r="FWC36" s="707"/>
      <c r="FWD36" s="707"/>
      <c r="FWE36" s="707"/>
      <c r="FWF36" s="707"/>
      <c r="FWG36" s="707"/>
      <c r="FWH36" s="707"/>
      <c r="FWI36" s="707"/>
      <c r="FWJ36" s="707"/>
      <c r="FWK36" s="707"/>
      <c r="FWL36" s="707"/>
      <c r="FWM36" s="707"/>
      <c r="FWN36" s="707"/>
      <c r="FWO36" s="707"/>
      <c r="FWP36" s="707"/>
      <c r="FWQ36" s="707"/>
      <c r="FWR36" s="707"/>
      <c r="FWS36" s="707"/>
      <c r="FWT36" s="707"/>
      <c r="FWU36" s="707"/>
      <c r="FWV36" s="707"/>
      <c r="FWW36" s="707"/>
      <c r="FWX36" s="707"/>
      <c r="FWY36" s="707"/>
      <c r="FWZ36" s="707"/>
      <c r="FXA36" s="707"/>
      <c r="FXB36" s="707"/>
      <c r="FXC36" s="707"/>
      <c r="FXD36" s="707"/>
      <c r="FXE36" s="707"/>
      <c r="FXF36" s="707"/>
      <c r="FXG36" s="707"/>
      <c r="FXH36" s="707"/>
      <c r="FXI36" s="707"/>
      <c r="FXJ36" s="707"/>
      <c r="FXK36" s="707"/>
      <c r="FXL36" s="707"/>
      <c r="FXM36" s="707"/>
      <c r="FXN36" s="707"/>
      <c r="FXO36" s="707"/>
      <c r="FXP36" s="707"/>
      <c r="FXQ36" s="707"/>
      <c r="FXR36" s="707"/>
      <c r="FXS36" s="707"/>
      <c r="FXT36" s="707"/>
      <c r="FXU36" s="707"/>
      <c r="FXV36" s="707"/>
      <c r="FXW36" s="707"/>
      <c r="FXX36" s="707"/>
      <c r="FXY36" s="707"/>
      <c r="FXZ36" s="707"/>
      <c r="FYA36" s="707"/>
      <c r="FYB36" s="707"/>
      <c r="FYC36" s="707"/>
      <c r="FYD36" s="707"/>
      <c r="FYE36" s="707"/>
      <c r="FYF36" s="707"/>
      <c r="FYG36" s="707"/>
      <c r="FYH36" s="707"/>
      <c r="FYI36" s="707"/>
      <c r="FYJ36" s="707"/>
      <c r="FYK36" s="707"/>
      <c r="FYL36" s="707"/>
      <c r="FYM36" s="707"/>
      <c r="FYN36" s="707"/>
      <c r="FYO36" s="707"/>
      <c r="FYP36" s="707"/>
      <c r="FYQ36" s="707"/>
      <c r="FYR36" s="707"/>
      <c r="FYS36" s="707"/>
      <c r="FYT36" s="707"/>
      <c r="FYU36" s="707"/>
      <c r="FYV36" s="707"/>
      <c r="FYW36" s="707"/>
      <c r="FYX36" s="707"/>
      <c r="FYY36" s="707"/>
      <c r="FYZ36" s="707"/>
      <c r="FZA36" s="707"/>
      <c r="FZB36" s="707"/>
      <c r="FZC36" s="707"/>
      <c r="FZD36" s="707"/>
      <c r="FZE36" s="707"/>
      <c r="FZF36" s="707"/>
      <c r="FZG36" s="707"/>
      <c r="FZH36" s="707"/>
      <c r="FZI36" s="707"/>
      <c r="FZJ36" s="707"/>
      <c r="FZK36" s="707"/>
      <c r="FZL36" s="707"/>
      <c r="FZM36" s="707"/>
      <c r="FZN36" s="707"/>
      <c r="FZO36" s="707"/>
      <c r="FZP36" s="707"/>
      <c r="FZQ36" s="707"/>
      <c r="FZR36" s="707"/>
      <c r="FZS36" s="707"/>
      <c r="FZT36" s="707"/>
      <c r="FZU36" s="707"/>
      <c r="FZV36" s="707"/>
      <c r="FZW36" s="707"/>
      <c r="FZX36" s="707"/>
      <c r="FZY36" s="707"/>
      <c r="FZZ36" s="707"/>
      <c r="GAA36" s="707"/>
      <c r="GAB36" s="707"/>
      <c r="GAC36" s="707"/>
      <c r="GAD36" s="707"/>
      <c r="GAE36" s="707"/>
      <c r="GAF36" s="707"/>
      <c r="GAG36" s="707"/>
      <c r="GAH36" s="707"/>
      <c r="GAI36" s="707"/>
      <c r="GAJ36" s="707"/>
      <c r="GAK36" s="707"/>
      <c r="GAL36" s="707"/>
      <c r="GAM36" s="707"/>
      <c r="GAN36" s="707"/>
      <c r="GAO36" s="707"/>
      <c r="GAP36" s="707"/>
      <c r="GAQ36" s="707"/>
      <c r="GAR36" s="707"/>
      <c r="GAS36" s="707"/>
      <c r="GAT36" s="707"/>
      <c r="GAU36" s="707"/>
      <c r="GAV36" s="707"/>
      <c r="GAW36" s="707"/>
      <c r="GAX36" s="707"/>
      <c r="GAY36" s="707"/>
      <c r="GAZ36" s="707"/>
      <c r="GBA36" s="707"/>
      <c r="GBB36" s="707"/>
      <c r="GBC36" s="707"/>
      <c r="GBD36" s="707"/>
      <c r="GBE36" s="707"/>
      <c r="GBF36" s="707"/>
      <c r="GBG36" s="707"/>
      <c r="GBH36" s="707"/>
      <c r="GBI36" s="707"/>
      <c r="GBJ36" s="707"/>
      <c r="GBK36" s="707"/>
      <c r="GBL36" s="707"/>
      <c r="GBM36" s="707"/>
      <c r="GBN36" s="707"/>
      <c r="GBO36" s="707"/>
      <c r="GBP36" s="707"/>
      <c r="GBQ36" s="707"/>
      <c r="GBR36" s="707"/>
      <c r="GBS36" s="707"/>
      <c r="GBT36" s="707"/>
      <c r="GBU36" s="707"/>
      <c r="GBV36" s="707"/>
      <c r="GBW36" s="707"/>
      <c r="GBX36" s="707"/>
      <c r="GBY36" s="707"/>
      <c r="GBZ36" s="707"/>
      <c r="GCA36" s="707"/>
      <c r="GCB36" s="707"/>
      <c r="GCC36" s="707"/>
      <c r="GCD36" s="707"/>
      <c r="GCE36" s="707"/>
      <c r="GCF36" s="707"/>
      <c r="GCG36" s="707"/>
      <c r="GCH36" s="707"/>
      <c r="GCI36" s="707"/>
      <c r="GCJ36" s="707"/>
      <c r="GCK36" s="707"/>
      <c r="GCL36" s="707"/>
      <c r="GCM36" s="707"/>
      <c r="GCN36" s="707"/>
      <c r="GCO36" s="707"/>
      <c r="GCP36" s="707"/>
      <c r="GCQ36" s="707"/>
      <c r="GCR36" s="707"/>
      <c r="GCS36" s="707"/>
      <c r="GCT36" s="707"/>
      <c r="GCU36" s="707"/>
      <c r="GCV36" s="707"/>
      <c r="GCW36" s="707"/>
      <c r="GCX36" s="707"/>
      <c r="GCY36" s="707"/>
      <c r="GCZ36" s="707"/>
      <c r="GDA36" s="707"/>
      <c r="GDB36" s="707"/>
      <c r="GDC36" s="707"/>
      <c r="GDD36" s="707"/>
      <c r="GDE36" s="707"/>
      <c r="GDF36" s="707"/>
      <c r="GDG36" s="707"/>
      <c r="GDH36" s="707"/>
      <c r="GDI36" s="707"/>
      <c r="GDJ36" s="707"/>
      <c r="GDK36" s="707"/>
      <c r="GDL36" s="707"/>
      <c r="GDM36" s="707"/>
      <c r="GDN36" s="707"/>
      <c r="GDO36" s="707"/>
      <c r="GDP36" s="707"/>
      <c r="GDQ36" s="707"/>
      <c r="GDR36" s="707"/>
      <c r="GDS36" s="707"/>
      <c r="GDT36" s="707"/>
      <c r="GDU36" s="707"/>
      <c r="GDV36" s="707"/>
      <c r="GDW36" s="707"/>
      <c r="GDX36" s="707"/>
      <c r="GDY36" s="707"/>
      <c r="GDZ36" s="707"/>
      <c r="GEA36" s="707"/>
      <c r="GEB36" s="707"/>
      <c r="GEC36" s="707"/>
      <c r="GED36" s="707"/>
      <c r="GEE36" s="707"/>
      <c r="GEF36" s="707"/>
      <c r="GEG36" s="707"/>
      <c r="GEH36" s="707"/>
      <c r="GEI36" s="707"/>
      <c r="GEJ36" s="707"/>
      <c r="GEK36" s="707"/>
      <c r="GEL36" s="707"/>
      <c r="GEM36" s="707"/>
      <c r="GEN36" s="707"/>
      <c r="GEO36" s="707"/>
      <c r="GEP36" s="707"/>
      <c r="GEQ36" s="707"/>
      <c r="GER36" s="707"/>
      <c r="GES36" s="707"/>
      <c r="GET36" s="707"/>
      <c r="GEU36" s="707"/>
      <c r="GEV36" s="707"/>
      <c r="GEW36" s="707"/>
      <c r="GEX36" s="707"/>
      <c r="GEY36" s="707"/>
      <c r="GEZ36" s="707"/>
      <c r="GFA36" s="707"/>
      <c r="GFB36" s="707"/>
      <c r="GFC36" s="707"/>
      <c r="GFD36" s="707"/>
      <c r="GFE36" s="707"/>
      <c r="GFF36" s="707"/>
      <c r="GFG36" s="707"/>
      <c r="GFH36" s="707"/>
      <c r="GFI36" s="707"/>
      <c r="GFJ36" s="707"/>
      <c r="GFK36" s="707"/>
      <c r="GFL36" s="707"/>
      <c r="GFM36" s="707"/>
      <c r="GFN36" s="707"/>
      <c r="GFO36" s="707"/>
      <c r="GFP36" s="707"/>
      <c r="GFQ36" s="707"/>
      <c r="GFR36" s="707"/>
      <c r="GFS36" s="707"/>
      <c r="GFT36" s="707"/>
      <c r="GFU36" s="707"/>
      <c r="GFV36" s="707"/>
      <c r="GFW36" s="707"/>
      <c r="GFX36" s="707"/>
      <c r="GFY36" s="707"/>
      <c r="GFZ36" s="707"/>
      <c r="GGA36" s="707"/>
      <c r="GGB36" s="707"/>
      <c r="GGC36" s="707"/>
      <c r="GGD36" s="707"/>
      <c r="GGE36" s="707"/>
      <c r="GGF36" s="707"/>
      <c r="GGG36" s="707"/>
      <c r="GGH36" s="707"/>
      <c r="GGI36" s="707"/>
      <c r="GGJ36" s="707"/>
      <c r="GGK36" s="707"/>
      <c r="GGL36" s="707"/>
      <c r="GGM36" s="707"/>
      <c r="GGN36" s="707"/>
      <c r="GGO36" s="707"/>
      <c r="GGP36" s="707"/>
      <c r="GGQ36" s="707"/>
      <c r="GGR36" s="707"/>
      <c r="GGS36" s="707"/>
      <c r="GGT36" s="707"/>
      <c r="GGU36" s="707"/>
      <c r="GGV36" s="707"/>
      <c r="GGW36" s="707"/>
      <c r="GGX36" s="707"/>
      <c r="GGY36" s="707"/>
      <c r="GGZ36" s="707"/>
      <c r="GHA36" s="707"/>
      <c r="GHB36" s="707"/>
      <c r="GHC36" s="707"/>
      <c r="GHD36" s="707"/>
      <c r="GHE36" s="707"/>
      <c r="GHF36" s="707"/>
      <c r="GHG36" s="707"/>
      <c r="GHH36" s="707"/>
      <c r="GHI36" s="707"/>
      <c r="GHJ36" s="707"/>
      <c r="GHK36" s="707"/>
      <c r="GHL36" s="707"/>
      <c r="GHM36" s="707"/>
      <c r="GHN36" s="707"/>
      <c r="GHO36" s="707"/>
      <c r="GHP36" s="707"/>
      <c r="GHQ36" s="707"/>
      <c r="GHR36" s="707"/>
      <c r="GHS36" s="707"/>
      <c r="GHT36" s="707"/>
      <c r="GHU36" s="707"/>
      <c r="GHV36" s="707"/>
      <c r="GHW36" s="707"/>
      <c r="GHX36" s="707"/>
      <c r="GHY36" s="707"/>
      <c r="GHZ36" s="707"/>
      <c r="GIA36" s="707"/>
      <c r="GIB36" s="707"/>
      <c r="GIC36" s="707"/>
      <c r="GID36" s="707"/>
      <c r="GIE36" s="707"/>
      <c r="GIF36" s="707"/>
      <c r="GIG36" s="707"/>
      <c r="GIH36" s="707"/>
      <c r="GII36" s="707"/>
      <c r="GIJ36" s="707"/>
      <c r="GIK36" s="707"/>
      <c r="GIL36" s="707"/>
      <c r="GIM36" s="707"/>
      <c r="GIN36" s="707"/>
      <c r="GIO36" s="707"/>
      <c r="GIP36" s="707"/>
      <c r="GIQ36" s="707"/>
      <c r="GIR36" s="707"/>
      <c r="GIS36" s="707"/>
      <c r="GIT36" s="707"/>
      <c r="GIU36" s="707"/>
      <c r="GIV36" s="707"/>
      <c r="GIW36" s="707"/>
      <c r="GIX36" s="707"/>
      <c r="GIY36" s="707"/>
      <c r="GIZ36" s="707"/>
      <c r="GJA36" s="707"/>
      <c r="GJB36" s="707"/>
      <c r="GJC36" s="707"/>
      <c r="GJD36" s="707"/>
      <c r="GJE36" s="707"/>
      <c r="GJF36" s="707"/>
      <c r="GJG36" s="707"/>
      <c r="GJH36" s="707"/>
      <c r="GJI36" s="707"/>
      <c r="GJJ36" s="707"/>
      <c r="GJK36" s="707"/>
      <c r="GJL36" s="707"/>
      <c r="GJM36" s="707"/>
      <c r="GJN36" s="707"/>
      <c r="GJO36" s="707"/>
      <c r="GJP36" s="707"/>
      <c r="GJQ36" s="707"/>
      <c r="GJR36" s="707"/>
      <c r="GJS36" s="707"/>
      <c r="GJT36" s="707"/>
      <c r="GJU36" s="707"/>
      <c r="GJV36" s="707"/>
      <c r="GJW36" s="707"/>
      <c r="GJX36" s="707"/>
      <c r="GJY36" s="707"/>
      <c r="GJZ36" s="707"/>
      <c r="GKA36" s="707"/>
      <c r="GKB36" s="707"/>
      <c r="GKC36" s="707"/>
      <c r="GKD36" s="707"/>
      <c r="GKE36" s="707"/>
      <c r="GKF36" s="707"/>
      <c r="GKG36" s="707"/>
      <c r="GKH36" s="707"/>
      <c r="GKI36" s="707"/>
      <c r="GKJ36" s="707"/>
      <c r="GKK36" s="707"/>
      <c r="GKL36" s="707"/>
      <c r="GKM36" s="707"/>
      <c r="GKN36" s="707"/>
      <c r="GKO36" s="707"/>
      <c r="GKP36" s="707"/>
      <c r="GKQ36" s="707"/>
      <c r="GKR36" s="707"/>
      <c r="GKS36" s="707"/>
      <c r="GKT36" s="707"/>
      <c r="GKU36" s="707"/>
      <c r="GKV36" s="707"/>
      <c r="GKW36" s="707"/>
      <c r="GKX36" s="707"/>
      <c r="GKY36" s="707"/>
      <c r="GKZ36" s="707"/>
      <c r="GLA36" s="707"/>
      <c r="GLB36" s="707"/>
      <c r="GLC36" s="707"/>
      <c r="GLD36" s="707"/>
      <c r="GLE36" s="707"/>
      <c r="GLF36" s="707"/>
      <c r="GLG36" s="707"/>
      <c r="GLH36" s="707"/>
      <c r="GLI36" s="707"/>
      <c r="GLJ36" s="707"/>
      <c r="GLK36" s="707"/>
      <c r="GLL36" s="707"/>
      <c r="GLM36" s="707"/>
      <c r="GLN36" s="707"/>
      <c r="GLO36" s="707"/>
      <c r="GLP36" s="707"/>
      <c r="GLQ36" s="707"/>
      <c r="GLR36" s="707"/>
      <c r="GLS36" s="707"/>
      <c r="GLT36" s="707"/>
      <c r="GLU36" s="707"/>
      <c r="GLV36" s="707"/>
      <c r="GLW36" s="707"/>
      <c r="GLX36" s="707"/>
      <c r="GLY36" s="707"/>
      <c r="GLZ36" s="707"/>
      <c r="GMA36" s="707"/>
      <c r="GMB36" s="707"/>
      <c r="GMC36" s="707"/>
      <c r="GMD36" s="707"/>
      <c r="GME36" s="707"/>
      <c r="GMF36" s="707"/>
      <c r="GMG36" s="707"/>
      <c r="GMH36" s="707"/>
      <c r="GMI36" s="707"/>
      <c r="GMJ36" s="707"/>
      <c r="GMK36" s="707"/>
      <c r="GML36" s="707"/>
      <c r="GMM36" s="707"/>
      <c r="GMN36" s="707"/>
      <c r="GMO36" s="707"/>
      <c r="GMP36" s="707"/>
      <c r="GMQ36" s="707"/>
      <c r="GMR36" s="707"/>
      <c r="GMS36" s="707"/>
      <c r="GMT36" s="707"/>
      <c r="GMU36" s="707"/>
      <c r="GMV36" s="707"/>
      <c r="GMW36" s="707"/>
      <c r="GMX36" s="707"/>
      <c r="GMY36" s="707"/>
      <c r="GMZ36" s="707"/>
      <c r="GNA36" s="707"/>
      <c r="GNB36" s="707"/>
      <c r="GNC36" s="707"/>
      <c r="GND36" s="707"/>
      <c r="GNE36" s="707"/>
      <c r="GNF36" s="707"/>
      <c r="GNG36" s="707"/>
      <c r="GNH36" s="707"/>
      <c r="GNI36" s="707"/>
      <c r="GNJ36" s="707"/>
      <c r="GNK36" s="707"/>
      <c r="GNL36" s="707"/>
      <c r="GNM36" s="707"/>
      <c r="GNN36" s="707"/>
      <c r="GNO36" s="707"/>
      <c r="GNP36" s="707"/>
      <c r="GNQ36" s="707"/>
      <c r="GNR36" s="707"/>
      <c r="GNS36" s="707"/>
      <c r="GNT36" s="707"/>
      <c r="GNU36" s="707"/>
      <c r="GNV36" s="707"/>
      <c r="GNW36" s="707"/>
      <c r="GNX36" s="707"/>
      <c r="GNY36" s="707"/>
      <c r="GNZ36" s="707"/>
      <c r="GOA36" s="707"/>
      <c r="GOB36" s="707"/>
      <c r="GOC36" s="707"/>
      <c r="GOD36" s="707"/>
      <c r="GOE36" s="707"/>
      <c r="GOF36" s="707"/>
      <c r="GOG36" s="707"/>
      <c r="GOH36" s="707"/>
      <c r="GOI36" s="707"/>
      <c r="GOJ36" s="707"/>
      <c r="GOK36" s="707"/>
      <c r="GOL36" s="707"/>
      <c r="GOM36" s="707"/>
      <c r="GON36" s="707"/>
      <c r="GOO36" s="707"/>
      <c r="GOP36" s="707"/>
      <c r="GOQ36" s="707"/>
      <c r="GOR36" s="707"/>
      <c r="GOS36" s="707"/>
      <c r="GOT36" s="707"/>
      <c r="GOU36" s="707"/>
      <c r="GOV36" s="707"/>
      <c r="GOW36" s="707"/>
      <c r="GOX36" s="707"/>
      <c r="GOY36" s="707"/>
      <c r="GOZ36" s="707"/>
      <c r="GPA36" s="707"/>
      <c r="GPB36" s="707"/>
      <c r="GPC36" s="707"/>
      <c r="GPD36" s="707"/>
      <c r="GPE36" s="707"/>
      <c r="GPF36" s="707"/>
      <c r="GPG36" s="707"/>
      <c r="GPH36" s="707"/>
      <c r="GPI36" s="707"/>
      <c r="GPJ36" s="707"/>
      <c r="GPK36" s="707"/>
      <c r="GPL36" s="707"/>
      <c r="GPM36" s="707"/>
      <c r="GPN36" s="707"/>
      <c r="GPO36" s="707"/>
      <c r="GPP36" s="707"/>
      <c r="GPQ36" s="707"/>
      <c r="GPR36" s="707"/>
      <c r="GPS36" s="707"/>
      <c r="GPT36" s="707"/>
      <c r="GPU36" s="707"/>
      <c r="GPV36" s="707"/>
      <c r="GPW36" s="707"/>
      <c r="GPX36" s="707"/>
      <c r="GPY36" s="707"/>
      <c r="GPZ36" s="707"/>
      <c r="GQA36" s="707"/>
      <c r="GQB36" s="707"/>
      <c r="GQC36" s="707"/>
      <c r="GQD36" s="707"/>
      <c r="GQE36" s="707"/>
      <c r="GQF36" s="707"/>
      <c r="GQG36" s="707"/>
      <c r="GQH36" s="707"/>
      <c r="GQI36" s="707"/>
      <c r="GQJ36" s="707"/>
      <c r="GQK36" s="707"/>
      <c r="GQL36" s="707"/>
      <c r="GQM36" s="707"/>
      <c r="GQN36" s="707"/>
      <c r="GQO36" s="707"/>
      <c r="GQP36" s="707"/>
      <c r="GQQ36" s="707"/>
      <c r="GQR36" s="707"/>
      <c r="GQS36" s="707"/>
      <c r="GQT36" s="707"/>
      <c r="GQU36" s="707"/>
      <c r="GQV36" s="707"/>
      <c r="GQW36" s="707"/>
      <c r="GQX36" s="707"/>
      <c r="GQY36" s="707"/>
      <c r="GQZ36" s="707"/>
      <c r="GRA36" s="707"/>
      <c r="GRB36" s="707"/>
      <c r="GRC36" s="707"/>
      <c r="GRD36" s="707"/>
      <c r="GRE36" s="707"/>
      <c r="GRF36" s="707"/>
      <c r="GRG36" s="707"/>
      <c r="GRH36" s="707"/>
      <c r="GRI36" s="707"/>
      <c r="GRJ36" s="707"/>
      <c r="GRK36" s="707"/>
      <c r="GRL36" s="707"/>
      <c r="GRM36" s="707"/>
      <c r="GRN36" s="707"/>
      <c r="GRO36" s="707"/>
      <c r="GRP36" s="707"/>
      <c r="GRQ36" s="707"/>
      <c r="GRR36" s="707"/>
      <c r="GRS36" s="707"/>
      <c r="GRT36" s="707"/>
      <c r="GRU36" s="707"/>
      <c r="GRV36" s="707"/>
      <c r="GRW36" s="707"/>
      <c r="GRX36" s="707"/>
      <c r="GRY36" s="707"/>
      <c r="GRZ36" s="707"/>
      <c r="GSA36" s="707"/>
      <c r="GSB36" s="707"/>
      <c r="GSC36" s="707"/>
      <c r="GSD36" s="707"/>
      <c r="GSE36" s="707"/>
      <c r="GSF36" s="707"/>
      <c r="GSG36" s="707"/>
      <c r="GSH36" s="707"/>
      <c r="GSI36" s="707"/>
      <c r="GSJ36" s="707"/>
      <c r="GSK36" s="707"/>
      <c r="GSL36" s="707"/>
      <c r="GSM36" s="707"/>
      <c r="GSN36" s="707"/>
      <c r="GSO36" s="707"/>
      <c r="GSP36" s="707"/>
      <c r="GSQ36" s="707"/>
      <c r="GSR36" s="707"/>
      <c r="GSS36" s="707"/>
      <c r="GST36" s="707"/>
      <c r="GSU36" s="707"/>
      <c r="GSV36" s="707"/>
      <c r="GSW36" s="707"/>
      <c r="GSX36" s="707"/>
      <c r="GSY36" s="707"/>
      <c r="GSZ36" s="707"/>
      <c r="GTA36" s="707"/>
      <c r="GTB36" s="707"/>
      <c r="GTC36" s="707"/>
      <c r="GTD36" s="707"/>
      <c r="GTE36" s="707"/>
      <c r="GTF36" s="707"/>
      <c r="GTG36" s="707"/>
      <c r="GTH36" s="707"/>
      <c r="GTI36" s="707"/>
      <c r="GTJ36" s="707"/>
      <c r="GTK36" s="707"/>
      <c r="GTL36" s="707"/>
      <c r="GTM36" s="707"/>
      <c r="GTN36" s="707"/>
      <c r="GTO36" s="707"/>
      <c r="GTP36" s="707"/>
      <c r="GTQ36" s="707"/>
      <c r="GTR36" s="707"/>
      <c r="GTS36" s="707"/>
      <c r="GTT36" s="707"/>
      <c r="GTU36" s="707"/>
      <c r="GTV36" s="707"/>
      <c r="GTW36" s="707"/>
      <c r="GTX36" s="707"/>
      <c r="GTY36" s="707"/>
      <c r="GTZ36" s="707"/>
      <c r="GUA36" s="707"/>
      <c r="GUB36" s="707"/>
      <c r="GUC36" s="707"/>
      <c r="GUD36" s="707"/>
      <c r="GUE36" s="707"/>
      <c r="GUF36" s="707"/>
      <c r="GUG36" s="707"/>
      <c r="GUH36" s="707"/>
      <c r="GUI36" s="707"/>
      <c r="GUJ36" s="707"/>
      <c r="GUK36" s="707"/>
      <c r="GUL36" s="707"/>
      <c r="GUM36" s="707"/>
      <c r="GUN36" s="707"/>
      <c r="GUO36" s="707"/>
      <c r="GUP36" s="707"/>
      <c r="GUQ36" s="707"/>
      <c r="GUR36" s="707"/>
      <c r="GUS36" s="707"/>
      <c r="GUT36" s="707"/>
      <c r="GUU36" s="707"/>
      <c r="GUV36" s="707"/>
      <c r="GUW36" s="707"/>
      <c r="GUX36" s="707"/>
      <c r="GUY36" s="707"/>
      <c r="GUZ36" s="707"/>
      <c r="GVA36" s="707"/>
      <c r="GVB36" s="707"/>
      <c r="GVC36" s="707"/>
      <c r="GVD36" s="707"/>
      <c r="GVE36" s="707"/>
      <c r="GVF36" s="707"/>
      <c r="GVG36" s="707"/>
      <c r="GVH36" s="707"/>
      <c r="GVI36" s="707"/>
      <c r="GVJ36" s="707"/>
      <c r="GVK36" s="707"/>
      <c r="GVL36" s="707"/>
      <c r="GVM36" s="707"/>
      <c r="GVN36" s="707"/>
      <c r="GVO36" s="707"/>
      <c r="GVP36" s="707"/>
      <c r="GVQ36" s="707"/>
      <c r="GVR36" s="707"/>
      <c r="GVS36" s="707"/>
      <c r="GVT36" s="707"/>
      <c r="GVU36" s="707"/>
      <c r="GVV36" s="707"/>
      <c r="GVW36" s="707"/>
      <c r="GVX36" s="707"/>
      <c r="GVY36" s="707"/>
      <c r="GVZ36" s="707"/>
      <c r="GWA36" s="707"/>
      <c r="GWB36" s="707"/>
      <c r="GWC36" s="707"/>
      <c r="GWD36" s="707"/>
      <c r="GWE36" s="707"/>
      <c r="GWF36" s="707"/>
      <c r="GWG36" s="707"/>
      <c r="GWH36" s="707"/>
      <c r="GWI36" s="707"/>
      <c r="GWJ36" s="707"/>
      <c r="GWK36" s="707"/>
      <c r="GWL36" s="707"/>
      <c r="GWM36" s="707"/>
      <c r="GWN36" s="707"/>
      <c r="GWO36" s="707"/>
      <c r="GWP36" s="707"/>
      <c r="GWQ36" s="707"/>
      <c r="GWR36" s="707"/>
      <c r="GWS36" s="707"/>
      <c r="GWT36" s="707"/>
      <c r="GWU36" s="707"/>
      <c r="GWV36" s="707"/>
      <c r="GWW36" s="707"/>
      <c r="GWX36" s="707"/>
      <c r="GWY36" s="707"/>
      <c r="GWZ36" s="707"/>
      <c r="GXA36" s="707"/>
      <c r="GXB36" s="707"/>
      <c r="GXC36" s="707"/>
      <c r="GXD36" s="707"/>
      <c r="GXE36" s="707"/>
      <c r="GXF36" s="707"/>
      <c r="GXG36" s="707"/>
      <c r="GXH36" s="707"/>
      <c r="GXI36" s="707"/>
      <c r="GXJ36" s="707"/>
      <c r="GXK36" s="707"/>
      <c r="GXL36" s="707"/>
      <c r="GXM36" s="707"/>
      <c r="GXN36" s="707"/>
      <c r="GXO36" s="707"/>
      <c r="GXP36" s="707"/>
      <c r="GXQ36" s="707"/>
      <c r="GXR36" s="707"/>
      <c r="GXS36" s="707"/>
      <c r="GXT36" s="707"/>
      <c r="GXU36" s="707"/>
      <c r="GXV36" s="707"/>
      <c r="GXW36" s="707"/>
      <c r="GXX36" s="707"/>
      <c r="GXY36" s="707"/>
      <c r="GXZ36" s="707"/>
      <c r="GYA36" s="707"/>
      <c r="GYB36" s="707"/>
      <c r="GYC36" s="707"/>
      <c r="GYD36" s="707"/>
      <c r="GYE36" s="707"/>
      <c r="GYF36" s="707"/>
      <c r="GYG36" s="707"/>
      <c r="GYH36" s="707"/>
      <c r="GYI36" s="707"/>
      <c r="GYJ36" s="707"/>
      <c r="GYK36" s="707"/>
      <c r="GYL36" s="707"/>
      <c r="GYM36" s="707"/>
      <c r="GYN36" s="707"/>
      <c r="GYO36" s="707"/>
      <c r="GYP36" s="707"/>
      <c r="GYQ36" s="707"/>
      <c r="GYR36" s="707"/>
      <c r="GYS36" s="707"/>
      <c r="GYT36" s="707"/>
      <c r="GYU36" s="707"/>
      <c r="GYV36" s="707"/>
      <c r="GYW36" s="707"/>
      <c r="GYX36" s="707"/>
      <c r="GYY36" s="707"/>
      <c r="GYZ36" s="707"/>
      <c r="GZA36" s="707"/>
      <c r="GZB36" s="707"/>
      <c r="GZC36" s="707"/>
      <c r="GZD36" s="707"/>
      <c r="GZE36" s="707"/>
      <c r="GZF36" s="707"/>
      <c r="GZG36" s="707"/>
      <c r="GZH36" s="707"/>
      <c r="GZI36" s="707"/>
      <c r="GZJ36" s="707"/>
      <c r="GZK36" s="707"/>
      <c r="GZL36" s="707"/>
      <c r="GZM36" s="707"/>
      <c r="GZN36" s="707"/>
      <c r="GZO36" s="707"/>
      <c r="GZP36" s="707"/>
      <c r="GZQ36" s="707"/>
      <c r="GZR36" s="707"/>
      <c r="GZS36" s="707"/>
      <c r="GZT36" s="707"/>
      <c r="GZU36" s="707"/>
      <c r="GZV36" s="707"/>
      <c r="GZW36" s="707"/>
      <c r="GZX36" s="707"/>
      <c r="GZY36" s="707"/>
      <c r="GZZ36" s="707"/>
      <c r="HAA36" s="707"/>
      <c r="HAB36" s="707"/>
      <c r="HAC36" s="707"/>
      <c r="HAD36" s="707"/>
      <c r="HAE36" s="707"/>
      <c r="HAF36" s="707"/>
      <c r="HAG36" s="707"/>
      <c r="HAH36" s="707"/>
      <c r="HAI36" s="707"/>
      <c r="HAJ36" s="707"/>
      <c r="HAK36" s="707"/>
      <c r="HAL36" s="707"/>
      <c r="HAM36" s="707"/>
      <c r="HAN36" s="707"/>
      <c r="HAO36" s="707"/>
      <c r="HAP36" s="707"/>
      <c r="HAQ36" s="707"/>
      <c r="HAR36" s="707"/>
      <c r="HAS36" s="707"/>
      <c r="HAT36" s="707"/>
      <c r="HAU36" s="707"/>
      <c r="HAV36" s="707"/>
      <c r="HAW36" s="707"/>
      <c r="HAX36" s="707"/>
      <c r="HAY36" s="707"/>
      <c r="HAZ36" s="707"/>
      <c r="HBA36" s="707"/>
      <c r="HBB36" s="707"/>
      <c r="HBC36" s="707"/>
      <c r="HBD36" s="707"/>
      <c r="HBE36" s="707"/>
      <c r="HBF36" s="707"/>
      <c r="HBG36" s="707"/>
      <c r="HBH36" s="707"/>
      <c r="HBI36" s="707"/>
      <c r="HBJ36" s="707"/>
      <c r="HBK36" s="707"/>
      <c r="HBL36" s="707"/>
      <c r="HBM36" s="707"/>
      <c r="HBN36" s="707"/>
      <c r="HBO36" s="707"/>
      <c r="HBP36" s="707"/>
      <c r="HBQ36" s="707"/>
      <c r="HBR36" s="707"/>
      <c r="HBS36" s="707"/>
      <c r="HBT36" s="707"/>
      <c r="HBU36" s="707"/>
      <c r="HBV36" s="707"/>
      <c r="HBW36" s="707"/>
      <c r="HBX36" s="707"/>
      <c r="HBY36" s="707"/>
      <c r="HBZ36" s="707"/>
      <c r="HCA36" s="707"/>
      <c r="HCB36" s="707"/>
      <c r="HCC36" s="707"/>
      <c r="HCD36" s="707"/>
      <c r="HCE36" s="707"/>
      <c r="HCF36" s="707"/>
      <c r="HCG36" s="707"/>
      <c r="HCH36" s="707"/>
      <c r="HCI36" s="707"/>
      <c r="HCJ36" s="707"/>
      <c r="HCK36" s="707"/>
      <c r="HCL36" s="707"/>
      <c r="HCM36" s="707"/>
      <c r="HCN36" s="707"/>
      <c r="HCO36" s="707"/>
      <c r="HCP36" s="707"/>
      <c r="HCQ36" s="707"/>
      <c r="HCR36" s="707"/>
      <c r="HCS36" s="707"/>
      <c r="HCT36" s="707"/>
      <c r="HCU36" s="707"/>
      <c r="HCV36" s="707"/>
      <c r="HCW36" s="707"/>
      <c r="HCX36" s="707"/>
      <c r="HCY36" s="707"/>
      <c r="HCZ36" s="707"/>
      <c r="HDA36" s="707"/>
      <c r="HDB36" s="707"/>
      <c r="HDC36" s="707"/>
      <c r="HDD36" s="707"/>
      <c r="HDE36" s="707"/>
      <c r="HDF36" s="707"/>
      <c r="HDG36" s="707"/>
      <c r="HDH36" s="707"/>
      <c r="HDI36" s="707"/>
      <c r="HDJ36" s="707"/>
      <c r="HDK36" s="707"/>
      <c r="HDL36" s="707"/>
      <c r="HDM36" s="707"/>
      <c r="HDN36" s="707"/>
      <c r="HDO36" s="707"/>
      <c r="HDP36" s="707"/>
      <c r="HDQ36" s="707"/>
      <c r="HDR36" s="707"/>
      <c r="HDS36" s="707"/>
      <c r="HDT36" s="707"/>
      <c r="HDU36" s="707"/>
      <c r="HDV36" s="707"/>
      <c r="HDW36" s="707"/>
      <c r="HDX36" s="707"/>
      <c r="HDY36" s="707"/>
      <c r="HDZ36" s="707"/>
      <c r="HEA36" s="707"/>
      <c r="HEB36" s="707"/>
      <c r="HEC36" s="707"/>
      <c r="HED36" s="707"/>
      <c r="HEE36" s="707"/>
      <c r="HEF36" s="707"/>
      <c r="HEG36" s="707"/>
      <c r="HEH36" s="707"/>
      <c r="HEI36" s="707"/>
      <c r="HEJ36" s="707"/>
      <c r="HEK36" s="707"/>
      <c r="HEL36" s="707"/>
      <c r="HEM36" s="707"/>
      <c r="HEN36" s="707"/>
      <c r="HEO36" s="707"/>
      <c r="HEP36" s="707"/>
      <c r="HEQ36" s="707"/>
      <c r="HER36" s="707"/>
      <c r="HES36" s="707"/>
      <c r="HET36" s="707"/>
      <c r="HEU36" s="707"/>
      <c r="HEV36" s="707"/>
      <c r="HEW36" s="707"/>
      <c r="HEX36" s="707"/>
      <c r="HEY36" s="707"/>
      <c r="HEZ36" s="707"/>
      <c r="HFA36" s="707"/>
      <c r="HFB36" s="707"/>
      <c r="HFC36" s="707"/>
      <c r="HFD36" s="707"/>
      <c r="HFE36" s="707"/>
      <c r="HFF36" s="707"/>
      <c r="HFG36" s="707"/>
      <c r="HFH36" s="707"/>
      <c r="HFI36" s="707"/>
      <c r="HFJ36" s="707"/>
      <c r="HFK36" s="707"/>
      <c r="HFL36" s="707"/>
      <c r="HFM36" s="707"/>
      <c r="HFN36" s="707"/>
      <c r="HFO36" s="707"/>
      <c r="HFP36" s="707"/>
      <c r="HFQ36" s="707"/>
      <c r="HFR36" s="707"/>
      <c r="HFS36" s="707"/>
      <c r="HFT36" s="707"/>
      <c r="HFU36" s="707"/>
      <c r="HFV36" s="707"/>
      <c r="HFW36" s="707"/>
      <c r="HFX36" s="707"/>
      <c r="HFY36" s="707"/>
      <c r="HFZ36" s="707"/>
      <c r="HGA36" s="707"/>
      <c r="HGB36" s="707"/>
      <c r="HGC36" s="707"/>
      <c r="HGD36" s="707"/>
      <c r="HGE36" s="707"/>
      <c r="HGF36" s="707"/>
      <c r="HGG36" s="707"/>
      <c r="HGH36" s="707"/>
      <c r="HGI36" s="707"/>
      <c r="HGJ36" s="707"/>
      <c r="HGK36" s="707"/>
      <c r="HGL36" s="707"/>
      <c r="HGM36" s="707"/>
      <c r="HGN36" s="707"/>
      <c r="HGO36" s="707"/>
      <c r="HGP36" s="707"/>
      <c r="HGQ36" s="707"/>
      <c r="HGR36" s="707"/>
      <c r="HGS36" s="707"/>
      <c r="HGT36" s="707"/>
      <c r="HGU36" s="707"/>
      <c r="HGV36" s="707"/>
      <c r="HGW36" s="707"/>
      <c r="HGX36" s="707"/>
      <c r="HGY36" s="707"/>
      <c r="HGZ36" s="707"/>
      <c r="HHA36" s="707"/>
      <c r="HHB36" s="707"/>
      <c r="HHC36" s="707"/>
      <c r="HHD36" s="707"/>
      <c r="HHE36" s="707"/>
      <c r="HHF36" s="707"/>
      <c r="HHG36" s="707"/>
      <c r="HHH36" s="707"/>
      <c r="HHI36" s="707"/>
      <c r="HHJ36" s="707"/>
      <c r="HHK36" s="707"/>
      <c r="HHL36" s="707"/>
      <c r="HHM36" s="707"/>
      <c r="HHN36" s="707"/>
      <c r="HHO36" s="707"/>
      <c r="HHP36" s="707"/>
      <c r="HHQ36" s="707"/>
      <c r="HHR36" s="707"/>
      <c r="HHS36" s="707"/>
      <c r="HHT36" s="707"/>
      <c r="HHU36" s="707"/>
      <c r="HHV36" s="707"/>
      <c r="HHW36" s="707"/>
      <c r="HHX36" s="707"/>
      <c r="HHY36" s="707"/>
      <c r="HHZ36" s="707"/>
      <c r="HIA36" s="707"/>
      <c r="HIB36" s="707"/>
      <c r="HIC36" s="707"/>
      <c r="HID36" s="707"/>
      <c r="HIE36" s="707"/>
      <c r="HIF36" s="707"/>
      <c r="HIG36" s="707"/>
      <c r="HIH36" s="707"/>
      <c r="HII36" s="707"/>
      <c r="HIJ36" s="707"/>
      <c r="HIK36" s="707"/>
      <c r="HIL36" s="707"/>
      <c r="HIM36" s="707"/>
      <c r="HIN36" s="707"/>
      <c r="HIO36" s="707"/>
      <c r="HIP36" s="707"/>
      <c r="HIQ36" s="707"/>
      <c r="HIR36" s="707"/>
      <c r="HIS36" s="707"/>
      <c r="HIT36" s="707"/>
      <c r="HIU36" s="707"/>
      <c r="HIV36" s="707"/>
      <c r="HIW36" s="707"/>
      <c r="HIX36" s="707"/>
      <c r="HIY36" s="707"/>
      <c r="HIZ36" s="707"/>
      <c r="HJA36" s="707"/>
      <c r="HJB36" s="707"/>
      <c r="HJC36" s="707"/>
      <c r="HJD36" s="707"/>
      <c r="HJE36" s="707"/>
      <c r="HJF36" s="707"/>
      <c r="HJG36" s="707"/>
      <c r="HJH36" s="707"/>
      <c r="HJI36" s="707"/>
      <c r="HJJ36" s="707"/>
      <c r="HJK36" s="707"/>
      <c r="HJL36" s="707"/>
      <c r="HJM36" s="707"/>
      <c r="HJN36" s="707"/>
      <c r="HJO36" s="707"/>
      <c r="HJP36" s="707"/>
      <c r="HJQ36" s="707"/>
      <c r="HJR36" s="707"/>
      <c r="HJS36" s="707"/>
      <c r="HJT36" s="707"/>
      <c r="HJU36" s="707"/>
      <c r="HJV36" s="707"/>
      <c r="HJW36" s="707"/>
      <c r="HJX36" s="707"/>
      <c r="HJY36" s="707"/>
      <c r="HJZ36" s="707"/>
      <c r="HKA36" s="707"/>
      <c r="HKB36" s="707"/>
      <c r="HKC36" s="707"/>
      <c r="HKD36" s="707"/>
      <c r="HKE36" s="707"/>
      <c r="HKF36" s="707"/>
      <c r="HKG36" s="707"/>
      <c r="HKH36" s="707"/>
      <c r="HKI36" s="707"/>
      <c r="HKJ36" s="707"/>
      <c r="HKK36" s="707"/>
      <c r="HKL36" s="707"/>
      <c r="HKM36" s="707"/>
      <c r="HKN36" s="707"/>
      <c r="HKO36" s="707"/>
      <c r="HKP36" s="707"/>
      <c r="HKQ36" s="707"/>
      <c r="HKR36" s="707"/>
      <c r="HKS36" s="707"/>
      <c r="HKT36" s="707"/>
      <c r="HKU36" s="707"/>
      <c r="HKV36" s="707"/>
      <c r="HKW36" s="707"/>
      <c r="HKX36" s="707"/>
      <c r="HKY36" s="707"/>
      <c r="HKZ36" s="707"/>
      <c r="HLA36" s="707"/>
      <c r="HLB36" s="707"/>
      <c r="HLC36" s="707"/>
      <c r="HLD36" s="707"/>
      <c r="HLE36" s="707"/>
      <c r="HLF36" s="707"/>
      <c r="HLG36" s="707"/>
      <c r="HLH36" s="707"/>
      <c r="HLI36" s="707"/>
      <c r="HLJ36" s="707"/>
      <c r="HLK36" s="707"/>
      <c r="HLL36" s="707"/>
      <c r="HLM36" s="707"/>
      <c r="HLN36" s="707"/>
      <c r="HLO36" s="707"/>
      <c r="HLP36" s="707"/>
      <c r="HLQ36" s="707"/>
      <c r="HLR36" s="707"/>
      <c r="HLS36" s="707"/>
      <c r="HLT36" s="707"/>
      <c r="HLU36" s="707"/>
      <c r="HLV36" s="707"/>
      <c r="HLW36" s="707"/>
      <c r="HLX36" s="707"/>
      <c r="HLY36" s="707"/>
      <c r="HLZ36" s="707"/>
      <c r="HMA36" s="707"/>
      <c r="HMB36" s="707"/>
      <c r="HMC36" s="707"/>
      <c r="HMD36" s="707"/>
      <c r="HME36" s="707"/>
      <c r="HMF36" s="707"/>
      <c r="HMG36" s="707"/>
      <c r="HMH36" s="707"/>
      <c r="HMI36" s="707"/>
      <c r="HMJ36" s="707"/>
      <c r="HMK36" s="707"/>
      <c r="HML36" s="707"/>
      <c r="HMM36" s="707"/>
      <c r="HMN36" s="707"/>
      <c r="HMO36" s="707"/>
      <c r="HMP36" s="707"/>
      <c r="HMQ36" s="707"/>
      <c r="HMR36" s="707"/>
      <c r="HMS36" s="707"/>
      <c r="HMT36" s="707"/>
      <c r="HMU36" s="707"/>
      <c r="HMV36" s="707"/>
      <c r="HMW36" s="707"/>
      <c r="HMX36" s="707"/>
      <c r="HMY36" s="707"/>
      <c r="HMZ36" s="707"/>
      <c r="HNA36" s="707"/>
      <c r="HNB36" s="707"/>
      <c r="HNC36" s="707"/>
      <c r="HND36" s="707"/>
      <c r="HNE36" s="707"/>
      <c r="HNF36" s="707"/>
      <c r="HNG36" s="707"/>
      <c r="HNH36" s="707"/>
      <c r="HNI36" s="707"/>
      <c r="HNJ36" s="707"/>
      <c r="HNK36" s="707"/>
      <c r="HNL36" s="707"/>
      <c r="HNM36" s="707"/>
      <c r="HNN36" s="707"/>
      <c r="HNO36" s="707"/>
      <c r="HNP36" s="707"/>
      <c r="HNQ36" s="707"/>
      <c r="HNR36" s="707"/>
      <c r="HNS36" s="707"/>
      <c r="HNT36" s="707"/>
      <c r="HNU36" s="707"/>
      <c r="HNV36" s="707"/>
      <c r="HNW36" s="707"/>
      <c r="HNX36" s="707"/>
      <c r="HNY36" s="707"/>
      <c r="HNZ36" s="707"/>
      <c r="HOA36" s="707"/>
      <c r="HOB36" s="707"/>
      <c r="HOC36" s="707"/>
      <c r="HOD36" s="707"/>
      <c r="HOE36" s="707"/>
      <c r="HOF36" s="707"/>
      <c r="HOG36" s="707"/>
      <c r="HOH36" s="707"/>
      <c r="HOI36" s="707"/>
      <c r="HOJ36" s="707"/>
      <c r="HOK36" s="707"/>
      <c r="HOL36" s="707"/>
      <c r="HOM36" s="707"/>
      <c r="HON36" s="707"/>
      <c r="HOO36" s="707"/>
      <c r="HOP36" s="707"/>
      <c r="HOQ36" s="707"/>
      <c r="HOR36" s="707"/>
      <c r="HOS36" s="707"/>
      <c r="HOT36" s="707"/>
      <c r="HOU36" s="707"/>
      <c r="HOV36" s="707"/>
      <c r="HOW36" s="707"/>
      <c r="HOX36" s="707"/>
      <c r="HOY36" s="707"/>
      <c r="HOZ36" s="707"/>
      <c r="HPA36" s="707"/>
      <c r="HPB36" s="707"/>
      <c r="HPC36" s="707"/>
      <c r="HPD36" s="707"/>
      <c r="HPE36" s="707"/>
      <c r="HPF36" s="707"/>
      <c r="HPG36" s="707"/>
      <c r="HPH36" s="707"/>
      <c r="HPI36" s="707"/>
      <c r="HPJ36" s="707"/>
      <c r="HPK36" s="707"/>
      <c r="HPL36" s="707"/>
      <c r="HPM36" s="707"/>
      <c r="HPN36" s="707"/>
      <c r="HPO36" s="707"/>
      <c r="HPP36" s="707"/>
      <c r="HPQ36" s="707"/>
      <c r="HPR36" s="707"/>
      <c r="HPS36" s="707"/>
      <c r="HPT36" s="707"/>
      <c r="HPU36" s="707"/>
      <c r="HPV36" s="707"/>
      <c r="HPW36" s="707"/>
      <c r="HPX36" s="707"/>
      <c r="HPY36" s="707"/>
      <c r="HPZ36" s="707"/>
      <c r="HQA36" s="707"/>
      <c r="HQB36" s="707"/>
      <c r="HQC36" s="707"/>
      <c r="HQD36" s="707"/>
      <c r="HQE36" s="707"/>
      <c r="HQF36" s="707"/>
      <c r="HQG36" s="707"/>
      <c r="HQH36" s="707"/>
      <c r="HQI36" s="707"/>
      <c r="HQJ36" s="707"/>
      <c r="HQK36" s="707"/>
      <c r="HQL36" s="707"/>
      <c r="HQM36" s="707"/>
      <c r="HQN36" s="707"/>
      <c r="HQO36" s="707"/>
      <c r="HQP36" s="707"/>
      <c r="HQQ36" s="707"/>
      <c r="HQR36" s="707"/>
      <c r="HQS36" s="707"/>
      <c r="HQT36" s="707"/>
      <c r="HQU36" s="707"/>
      <c r="HQV36" s="707"/>
      <c r="HQW36" s="707"/>
      <c r="HQX36" s="707"/>
      <c r="HQY36" s="707"/>
      <c r="HQZ36" s="707"/>
      <c r="HRA36" s="707"/>
      <c r="HRB36" s="707"/>
      <c r="HRC36" s="707"/>
      <c r="HRD36" s="707"/>
      <c r="HRE36" s="707"/>
      <c r="HRF36" s="707"/>
      <c r="HRG36" s="707"/>
      <c r="HRH36" s="707"/>
      <c r="HRI36" s="707"/>
      <c r="HRJ36" s="707"/>
      <c r="HRK36" s="707"/>
      <c r="HRL36" s="707"/>
      <c r="HRM36" s="707"/>
      <c r="HRN36" s="707"/>
      <c r="HRO36" s="707"/>
      <c r="HRP36" s="707"/>
      <c r="HRQ36" s="707"/>
      <c r="HRR36" s="707"/>
      <c r="HRS36" s="707"/>
      <c r="HRT36" s="707"/>
      <c r="HRU36" s="707"/>
      <c r="HRV36" s="707"/>
      <c r="HRW36" s="707"/>
      <c r="HRX36" s="707"/>
      <c r="HRY36" s="707"/>
      <c r="HRZ36" s="707"/>
      <c r="HSA36" s="707"/>
      <c r="HSB36" s="707"/>
      <c r="HSC36" s="707"/>
      <c r="HSD36" s="707"/>
      <c r="HSE36" s="707"/>
      <c r="HSF36" s="707"/>
      <c r="HSG36" s="707"/>
      <c r="HSH36" s="707"/>
      <c r="HSI36" s="707"/>
      <c r="HSJ36" s="707"/>
      <c r="HSK36" s="707"/>
      <c r="HSL36" s="707"/>
      <c r="HSM36" s="707"/>
      <c r="HSN36" s="707"/>
      <c r="HSO36" s="707"/>
      <c r="HSP36" s="707"/>
      <c r="HSQ36" s="707"/>
      <c r="HSR36" s="707"/>
      <c r="HSS36" s="707"/>
      <c r="HST36" s="707"/>
      <c r="HSU36" s="707"/>
      <c r="HSV36" s="707"/>
      <c r="HSW36" s="707"/>
      <c r="HSX36" s="707"/>
      <c r="HSY36" s="707"/>
      <c r="HSZ36" s="707"/>
      <c r="HTA36" s="707"/>
      <c r="HTB36" s="707"/>
      <c r="HTC36" s="707"/>
      <c r="HTD36" s="707"/>
      <c r="HTE36" s="707"/>
      <c r="HTF36" s="707"/>
      <c r="HTG36" s="707"/>
      <c r="HTH36" s="707"/>
      <c r="HTI36" s="707"/>
      <c r="HTJ36" s="707"/>
      <c r="HTK36" s="707"/>
      <c r="HTL36" s="707"/>
      <c r="HTM36" s="707"/>
      <c r="HTN36" s="707"/>
      <c r="HTO36" s="707"/>
      <c r="HTP36" s="707"/>
      <c r="HTQ36" s="707"/>
      <c r="HTR36" s="707"/>
      <c r="HTS36" s="707"/>
      <c r="HTT36" s="707"/>
      <c r="HTU36" s="707"/>
      <c r="HTV36" s="707"/>
      <c r="HTW36" s="707"/>
      <c r="HTX36" s="707"/>
      <c r="HTY36" s="707"/>
      <c r="HTZ36" s="707"/>
      <c r="HUA36" s="707"/>
      <c r="HUB36" s="707"/>
      <c r="HUC36" s="707"/>
      <c r="HUD36" s="707"/>
      <c r="HUE36" s="707"/>
      <c r="HUF36" s="707"/>
      <c r="HUG36" s="707"/>
      <c r="HUH36" s="707"/>
      <c r="HUI36" s="707"/>
      <c r="HUJ36" s="707"/>
      <c r="HUK36" s="707"/>
      <c r="HUL36" s="707"/>
      <c r="HUM36" s="707"/>
      <c r="HUN36" s="707"/>
      <c r="HUO36" s="707"/>
      <c r="HUP36" s="707"/>
      <c r="HUQ36" s="707"/>
      <c r="HUR36" s="707"/>
      <c r="HUS36" s="707"/>
      <c r="HUT36" s="707"/>
      <c r="HUU36" s="707"/>
      <c r="HUV36" s="707"/>
      <c r="HUW36" s="707"/>
      <c r="HUX36" s="707"/>
      <c r="HUY36" s="707"/>
      <c r="HUZ36" s="707"/>
      <c r="HVA36" s="707"/>
      <c r="HVB36" s="707"/>
      <c r="HVC36" s="707"/>
      <c r="HVD36" s="707"/>
      <c r="HVE36" s="707"/>
      <c r="HVF36" s="707"/>
      <c r="HVG36" s="707"/>
      <c r="HVH36" s="707"/>
      <c r="HVI36" s="707"/>
      <c r="HVJ36" s="707"/>
      <c r="HVK36" s="707"/>
      <c r="HVL36" s="707"/>
      <c r="HVM36" s="707"/>
      <c r="HVN36" s="707"/>
      <c r="HVO36" s="707"/>
      <c r="HVP36" s="707"/>
      <c r="HVQ36" s="707"/>
      <c r="HVR36" s="707"/>
      <c r="HVS36" s="707"/>
      <c r="HVT36" s="707"/>
      <c r="HVU36" s="707"/>
      <c r="HVV36" s="707"/>
      <c r="HVW36" s="707"/>
      <c r="HVX36" s="707"/>
      <c r="HVY36" s="707"/>
      <c r="HVZ36" s="707"/>
      <c r="HWA36" s="707"/>
      <c r="HWB36" s="707"/>
      <c r="HWC36" s="707"/>
      <c r="HWD36" s="707"/>
      <c r="HWE36" s="707"/>
      <c r="HWF36" s="707"/>
      <c r="HWG36" s="707"/>
      <c r="HWH36" s="707"/>
      <c r="HWI36" s="707"/>
      <c r="HWJ36" s="707"/>
      <c r="HWK36" s="707"/>
      <c r="HWL36" s="707"/>
      <c r="HWM36" s="707"/>
      <c r="HWN36" s="707"/>
      <c r="HWO36" s="707"/>
      <c r="HWP36" s="707"/>
      <c r="HWQ36" s="707"/>
      <c r="HWR36" s="707"/>
      <c r="HWS36" s="707"/>
      <c r="HWT36" s="707"/>
      <c r="HWU36" s="707"/>
      <c r="HWV36" s="707"/>
      <c r="HWW36" s="707"/>
      <c r="HWX36" s="707"/>
      <c r="HWY36" s="707"/>
      <c r="HWZ36" s="707"/>
      <c r="HXA36" s="707"/>
      <c r="HXB36" s="707"/>
      <c r="HXC36" s="707"/>
      <c r="HXD36" s="707"/>
      <c r="HXE36" s="707"/>
      <c r="HXF36" s="707"/>
      <c r="HXG36" s="707"/>
      <c r="HXH36" s="707"/>
      <c r="HXI36" s="707"/>
      <c r="HXJ36" s="707"/>
      <c r="HXK36" s="707"/>
      <c r="HXL36" s="707"/>
      <c r="HXM36" s="707"/>
      <c r="HXN36" s="707"/>
      <c r="HXO36" s="707"/>
      <c r="HXP36" s="707"/>
      <c r="HXQ36" s="707"/>
      <c r="HXR36" s="707"/>
      <c r="HXS36" s="707"/>
      <c r="HXT36" s="707"/>
      <c r="HXU36" s="707"/>
      <c r="HXV36" s="707"/>
      <c r="HXW36" s="707"/>
      <c r="HXX36" s="707"/>
      <c r="HXY36" s="707"/>
      <c r="HXZ36" s="707"/>
      <c r="HYA36" s="707"/>
      <c r="HYB36" s="707"/>
      <c r="HYC36" s="707"/>
      <c r="HYD36" s="707"/>
      <c r="HYE36" s="707"/>
      <c r="HYF36" s="707"/>
      <c r="HYG36" s="707"/>
      <c r="HYH36" s="707"/>
      <c r="HYI36" s="707"/>
      <c r="HYJ36" s="707"/>
      <c r="HYK36" s="707"/>
      <c r="HYL36" s="707"/>
      <c r="HYM36" s="707"/>
      <c r="HYN36" s="707"/>
      <c r="HYO36" s="707"/>
      <c r="HYP36" s="707"/>
      <c r="HYQ36" s="707"/>
      <c r="HYR36" s="707"/>
      <c r="HYS36" s="707"/>
      <c r="HYT36" s="707"/>
      <c r="HYU36" s="707"/>
      <c r="HYV36" s="707"/>
      <c r="HYW36" s="707"/>
      <c r="HYX36" s="707"/>
      <c r="HYY36" s="707"/>
      <c r="HYZ36" s="707"/>
      <c r="HZA36" s="707"/>
      <c r="HZB36" s="707"/>
      <c r="HZC36" s="707"/>
      <c r="HZD36" s="707"/>
      <c r="HZE36" s="707"/>
      <c r="HZF36" s="707"/>
      <c r="HZG36" s="707"/>
      <c r="HZH36" s="707"/>
      <c r="HZI36" s="707"/>
      <c r="HZJ36" s="707"/>
      <c r="HZK36" s="707"/>
      <c r="HZL36" s="707"/>
      <c r="HZM36" s="707"/>
      <c r="HZN36" s="707"/>
      <c r="HZO36" s="707"/>
      <c r="HZP36" s="707"/>
      <c r="HZQ36" s="707"/>
      <c r="HZR36" s="707"/>
      <c r="HZS36" s="707"/>
      <c r="HZT36" s="707"/>
      <c r="HZU36" s="707"/>
      <c r="HZV36" s="707"/>
      <c r="HZW36" s="707"/>
      <c r="HZX36" s="707"/>
      <c r="HZY36" s="707"/>
      <c r="HZZ36" s="707"/>
      <c r="IAA36" s="707"/>
      <c r="IAB36" s="707"/>
      <c r="IAC36" s="707"/>
      <c r="IAD36" s="707"/>
      <c r="IAE36" s="707"/>
      <c r="IAF36" s="707"/>
      <c r="IAG36" s="707"/>
      <c r="IAH36" s="707"/>
      <c r="IAI36" s="707"/>
      <c r="IAJ36" s="707"/>
      <c r="IAK36" s="707"/>
      <c r="IAL36" s="707"/>
      <c r="IAM36" s="707"/>
      <c r="IAN36" s="707"/>
      <c r="IAO36" s="707"/>
      <c r="IAP36" s="707"/>
      <c r="IAQ36" s="707"/>
      <c r="IAR36" s="707"/>
      <c r="IAS36" s="707"/>
      <c r="IAT36" s="707"/>
      <c r="IAU36" s="707"/>
      <c r="IAV36" s="707"/>
      <c r="IAW36" s="707"/>
      <c r="IAX36" s="707"/>
      <c r="IAY36" s="707"/>
      <c r="IAZ36" s="707"/>
      <c r="IBA36" s="707"/>
      <c r="IBB36" s="707"/>
      <c r="IBC36" s="707"/>
      <c r="IBD36" s="707"/>
      <c r="IBE36" s="707"/>
      <c r="IBF36" s="707"/>
      <c r="IBG36" s="707"/>
      <c r="IBH36" s="707"/>
      <c r="IBI36" s="707"/>
      <c r="IBJ36" s="707"/>
      <c r="IBK36" s="707"/>
      <c r="IBL36" s="707"/>
      <c r="IBM36" s="707"/>
      <c r="IBN36" s="707"/>
      <c r="IBO36" s="707"/>
      <c r="IBP36" s="707"/>
      <c r="IBQ36" s="707"/>
      <c r="IBR36" s="707"/>
      <c r="IBS36" s="707"/>
      <c r="IBT36" s="707"/>
      <c r="IBU36" s="707"/>
      <c r="IBV36" s="707"/>
      <c r="IBW36" s="707"/>
      <c r="IBX36" s="707"/>
      <c r="IBY36" s="707"/>
      <c r="IBZ36" s="707"/>
      <c r="ICA36" s="707"/>
      <c r="ICB36" s="707"/>
      <c r="ICC36" s="707"/>
      <c r="ICD36" s="707"/>
      <c r="ICE36" s="707"/>
      <c r="ICF36" s="707"/>
      <c r="ICG36" s="707"/>
      <c r="ICH36" s="707"/>
      <c r="ICI36" s="707"/>
      <c r="ICJ36" s="707"/>
      <c r="ICK36" s="707"/>
      <c r="ICL36" s="707"/>
      <c r="ICM36" s="707"/>
      <c r="ICN36" s="707"/>
      <c r="ICO36" s="707"/>
      <c r="ICP36" s="707"/>
      <c r="ICQ36" s="707"/>
      <c r="ICR36" s="707"/>
      <c r="ICS36" s="707"/>
      <c r="ICT36" s="707"/>
      <c r="ICU36" s="707"/>
      <c r="ICV36" s="707"/>
      <c r="ICW36" s="707"/>
      <c r="ICX36" s="707"/>
      <c r="ICY36" s="707"/>
      <c r="ICZ36" s="707"/>
      <c r="IDA36" s="707"/>
      <c r="IDB36" s="707"/>
      <c r="IDC36" s="707"/>
      <c r="IDD36" s="707"/>
      <c r="IDE36" s="707"/>
      <c r="IDF36" s="707"/>
      <c r="IDG36" s="707"/>
      <c r="IDH36" s="707"/>
      <c r="IDI36" s="707"/>
      <c r="IDJ36" s="707"/>
      <c r="IDK36" s="707"/>
      <c r="IDL36" s="707"/>
      <c r="IDM36" s="707"/>
      <c r="IDN36" s="707"/>
      <c r="IDO36" s="707"/>
      <c r="IDP36" s="707"/>
      <c r="IDQ36" s="707"/>
      <c r="IDR36" s="707"/>
      <c r="IDS36" s="707"/>
      <c r="IDT36" s="707"/>
      <c r="IDU36" s="707"/>
      <c r="IDV36" s="707"/>
      <c r="IDW36" s="707"/>
      <c r="IDX36" s="707"/>
      <c r="IDY36" s="707"/>
      <c r="IDZ36" s="707"/>
      <c r="IEA36" s="707"/>
      <c r="IEB36" s="707"/>
      <c r="IEC36" s="707"/>
      <c r="IED36" s="707"/>
      <c r="IEE36" s="707"/>
      <c r="IEF36" s="707"/>
      <c r="IEG36" s="707"/>
      <c r="IEH36" s="707"/>
      <c r="IEI36" s="707"/>
      <c r="IEJ36" s="707"/>
      <c r="IEK36" s="707"/>
      <c r="IEL36" s="707"/>
      <c r="IEM36" s="707"/>
      <c r="IEN36" s="707"/>
      <c r="IEO36" s="707"/>
      <c r="IEP36" s="707"/>
      <c r="IEQ36" s="707"/>
      <c r="IER36" s="707"/>
      <c r="IES36" s="707"/>
      <c r="IET36" s="707"/>
      <c r="IEU36" s="707"/>
      <c r="IEV36" s="707"/>
      <c r="IEW36" s="707"/>
      <c r="IEX36" s="707"/>
      <c r="IEY36" s="707"/>
      <c r="IEZ36" s="707"/>
      <c r="IFA36" s="707"/>
      <c r="IFB36" s="707"/>
      <c r="IFC36" s="707"/>
      <c r="IFD36" s="707"/>
      <c r="IFE36" s="707"/>
      <c r="IFF36" s="707"/>
      <c r="IFG36" s="707"/>
      <c r="IFH36" s="707"/>
      <c r="IFI36" s="707"/>
      <c r="IFJ36" s="707"/>
      <c r="IFK36" s="707"/>
      <c r="IFL36" s="707"/>
      <c r="IFM36" s="707"/>
      <c r="IFN36" s="707"/>
      <c r="IFO36" s="707"/>
      <c r="IFP36" s="707"/>
      <c r="IFQ36" s="707"/>
      <c r="IFR36" s="707"/>
      <c r="IFS36" s="707"/>
      <c r="IFT36" s="707"/>
      <c r="IFU36" s="707"/>
      <c r="IFV36" s="707"/>
      <c r="IFW36" s="707"/>
      <c r="IFX36" s="707"/>
      <c r="IFY36" s="707"/>
      <c r="IFZ36" s="707"/>
      <c r="IGA36" s="707"/>
      <c r="IGB36" s="707"/>
      <c r="IGC36" s="707"/>
      <c r="IGD36" s="707"/>
      <c r="IGE36" s="707"/>
      <c r="IGF36" s="707"/>
      <c r="IGG36" s="707"/>
      <c r="IGH36" s="707"/>
      <c r="IGI36" s="707"/>
      <c r="IGJ36" s="707"/>
      <c r="IGK36" s="707"/>
      <c r="IGL36" s="707"/>
      <c r="IGM36" s="707"/>
      <c r="IGN36" s="707"/>
      <c r="IGO36" s="707"/>
      <c r="IGP36" s="707"/>
      <c r="IGQ36" s="707"/>
      <c r="IGR36" s="707"/>
      <c r="IGS36" s="707"/>
      <c r="IGT36" s="707"/>
      <c r="IGU36" s="707"/>
      <c r="IGV36" s="707"/>
      <c r="IGW36" s="707"/>
      <c r="IGX36" s="707"/>
      <c r="IGY36" s="707"/>
      <c r="IGZ36" s="707"/>
      <c r="IHA36" s="707"/>
      <c r="IHB36" s="707"/>
      <c r="IHC36" s="707"/>
      <c r="IHD36" s="707"/>
      <c r="IHE36" s="707"/>
      <c r="IHF36" s="707"/>
      <c r="IHG36" s="707"/>
      <c r="IHH36" s="707"/>
      <c r="IHI36" s="707"/>
      <c r="IHJ36" s="707"/>
      <c r="IHK36" s="707"/>
      <c r="IHL36" s="707"/>
      <c r="IHM36" s="707"/>
      <c r="IHN36" s="707"/>
      <c r="IHO36" s="707"/>
      <c r="IHP36" s="707"/>
      <c r="IHQ36" s="707"/>
      <c r="IHR36" s="707"/>
      <c r="IHS36" s="707"/>
      <c r="IHT36" s="707"/>
      <c r="IHU36" s="707"/>
      <c r="IHV36" s="707"/>
      <c r="IHW36" s="707"/>
      <c r="IHX36" s="707"/>
      <c r="IHY36" s="707"/>
      <c r="IHZ36" s="707"/>
      <c r="IIA36" s="707"/>
      <c r="IIB36" s="707"/>
      <c r="IIC36" s="707"/>
      <c r="IID36" s="707"/>
      <c r="IIE36" s="707"/>
      <c r="IIF36" s="707"/>
      <c r="IIG36" s="707"/>
      <c r="IIH36" s="707"/>
      <c r="III36" s="707"/>
      <c r="IIJ36" s="707"/>
      <c r="IIK36" s="707"/>
      <c r="IIL36" s="707"/>
      <c r="IIM36" s="707"/>
      <c r="IIN36" s="707"/>
      <c r="IIO36" s="707"/>
      <c r="IIP36" s="707"/>
      <c r="IIQ36" s="707"/>
      <c r="IIR36" s="707"/>
      <c r="IIS36" s="707"/>
      <c r="IIT36" s="707"/>
      <c r="IIU36" s="707"/>
      <c r="IIV36" s="707"/>
      <c r="IIW36" s="707"/>
      <c r="IIX36" s="707"/>
      <c r="IIY36" s="707"/>
      <c r="IIZ36" s="707"/>
      <c r="IJA36" s="707"/>
      <c r="IJB36" s="707"/>
      <c r="IJC36" s="707"/>
      <c r="IJD36" s="707"/>
      <c r="IJE36" s="707"/>
      <c r="IJF36" s="707"/>
      <c r="IJG36" s="707"/>
      <c r="IJH36" s="707"/>
      <c r="IJI36" s="707"/>
      <c r="IJJ36" s="707"/>
      <c r="IJK36" s="707"/>
      <c r="IJL36" s="707"/>
      <c r="IJM36" s="707"/>
      <c r="IJN36" s="707"/>
      <c r="IJO36" s="707"/>
      <c r="IJP36" s="707"/>
      <c r="IJQ36" s="707"/>
      <c r="IJR36" s="707"/>
      <c r="IJS36" s="707"/>
      <c r="IJT36" s="707"/>
      <c r="IJU36" s="707"/>
      <c r="IJV36" s="707"/>
      <c r="IJW36" s="707"/>
      <c r="IJX36" s="707"/>
      <c r="IJY36" s="707"/>
      <c r="IJZ36" s="707"/>
      <c r="IKA36" s="707"/>
      <c r="IKB36" s="707"/>
      <c r="IKC36" s="707"/>
      <c r="IKD36" s="707"/>
      <c r="IKE36" s="707"/>
      <c r="IKF36" s="707"/>
      <c r="IKG36" s="707"/>
      <c r="IKH36" s="707"/>
      <c r="IKI36" s="707"/>
      <c r="IKJ36" s="707"/>
      <c r="IKK36" s="707"/>
      <c r="IKL36" s="707"/>
      <c r="IKM36" s="707"/>
      <c r="IKN36" s="707"/>
      <c r="IKO36" s="707"/>
      <c r="IKP36" s="707"/>
      <c r="IKQ36" s="707"/>
      <c r="IKR36" s="707"/>
      <c r="IKS36" s="707"/>
      <c r="IKT36" s="707"/>
      <c r="IKU36" s="707"/>
      <c r="IKV36" s="707"/>
      <c r="IKW36" s="707"/>
      <c r="IKX36" s="707"/>
      <c r="IKY36" s="707"/>
      <c r="IKZ36" s="707"/>
      <c r="ILA36" s="707"/>
      <c r="ILB36" s="707"/>
      <c r="ILC36" s="707"/>
      <c r="ILD36" s="707"/>
      <c r="ILE36" s="707"/>
      <c r="ILF36" s="707"/>
      <c r="ILG36" s="707"/>
      <c r="ILH36" s="707"/>
      <c r="ILI36" s="707"/>
      <c r="ILJ36" s="707"/>
      <c r="ILK36" s="707"/>
      <c r="ILL36" s="707"/>
      <c r="ILM36" s="707"/>
      <c r="ILN36" s="707"/>
      <c r="ILO36" s="707"/>
      <c r="ILP36" s="707"/>
      <c r="ILQ36" s="707"/>
      <c r="ILR36" s="707"/>
      <c r="ILS36" s="707"/>
      <c r="ILT36" s="707"/>
      <c r="ILU36" s="707"/>
      <c r="ILV36" s="707"/>
      <c r="ILW36" s="707"/>
      <c r="ILX36" s="707"/>
      <c r="ILY36" s="707"/>
      <c r="ILZ36" s="707"/>
      <c r="IMA36" s="707"/>
      <c r="IMB36" s="707"/>
      <c r="IMC36" s="707"/>
      <c r="IMD36" s="707"/>
      <c r="IME36" s="707"/>
      <c r="IMF36" s="707"/>
      <c r="IMG36" s="707"/>
      <c r="IMH36" s="707"/>
      <c r="IMI36" s="707"/>
      <c r="IMJ36" s="707"/>
      <c r="IMK36" s="707"/>
      <c r="IML36" s="707"/>
      <c r="IMM36" s="707"/>
      <c r="IMN36" s="707"/>
      <c r="IMO36" s="707"/>
      <c r="IMP36" s="707"/>
      <c r="IMQ36" s="707"/>
      <c r="IMR36" s="707"/>
      <c r="IMS36" s="707"/>
      <c r="IMT36" s="707"/>
      <c r="IMU36" s="707"/>
      <c r="IMV36" s="707"/>
      <c r="IMW36" s="707"/>
      <c r="IMX36" s="707"/>
      <c r="IMY36" s="707"/>
      <c r="IMZ36" s="707"/>
      <c r="INA36" s="707"/>
      <c r="INB36" s="707"/>
      <c r="INC36" s="707"/>
      <c r="IND36" s="707"/>
      <c r="INE36" s="707"/>
      <c r="INF36" s="707"/>
      <c r="ING36" s="707"/>
      <c r="INH36" s="707"/>
      <c r="INI36" s="707"/>
      <c r="INJ36" s="707"/>
      <c r="INK36" s="707"/>
      <c r="INL36" s="707"/>
      <c r="INM36" s="707"/>
      <c r="INN36" s="707"/>
      <c r="INO36" s="707"/>
      <c r="INP36" s="707"/>
      <c r="INQ36" s="707"/>
      <c r="INR36" s="707"/>
      <c r="INS36" s="707"/>
      <c r="INT36" s="707"/>
      <c r="INU36" s="707"/>
      <c r="INV36" s="707"/>
      <c r="INW36" s="707"/>
      <c r="INX36" s="707"/>
      <c r="INY36" s="707"/>
      <c r="INZ36" s="707"/>
      <c r="IOA36" s="707"/>
      <c r="IOB36" s="707"/>
      <c r="IOC36" s="707"/>
      <c r="IOD36" s="707"/>
      <c r="IOE36" s="707"/>
      <c r="IOF36" s="707"/>
      <c r="IOG36" s="707"/>
      <c r="IOH36" s="707"/>
      <c r="IOI36" s="707"/>
      <c r="IOJ36" s="707"/>
      <c r="IOK36" s="707"/>
      <c r="IOL36" s="707"/>
      <c r="IOM36" s="707"/>
      <c r="ION36" s="707"/>
      <c r="IOO36" s="707"/>
      <c r="IOP36" s="707"/>
      <c r="IOQ36" s="707"/>
      <c r="IOR36" s="707"/>
      <c r="IOS36" s="707"/>
      <c r="IOT36" s="707"/>
      <c r="IOU36" s="707"/>
      <c r="IOV36" s="707"/>
      <c r="IOW36" s="707"/>
      <c r="IOX36" s="707"/>
      <c r="IOY36" s="707"/>
      <c r="IOZ36" s="707"/>
      <c r="IPA36" s="707"/>
      <c r="IPB36" s="707"/>
      <c r="IPC36" s="707"/>
      <c r="IPD36" s="707"/>
      <c r="IPE36" s="707"/>
      <c r="IPF36" s="707"/>
      <c r="IPG36" s="707"/>
      <c r="IPH36" s="707"/>
      <c r="IPI36" s="707"/>
      <c r="IPJ36" s="707"/>
      <c r="IPK36" s="707"/>
      <c r="IPL36" s="707"/>
      <c r="IPM36" s="707"/>
      <c r="IPN36" s="707"/>
      <c r="IPO36" s="707"/>
      <c r="IPP36" s="707"/>
      <c r="IPQ36" s="707"/>
      <c r="IPR36" s="707"/>
      <c r="IPS36" s="707"/>
      <c r="IPT36" s="707"/>
      <c r="IPU36" s="707"/>
      <c r="IPV36" s="707"/>
      <c r="IPW36" s="707"/>
      <c r="IPX36" s="707"/>
      <c r="IPY36" s="707"/>
      <c r="IPZ36" s="707"/>
      <c r="IQA36" s="707"/>
      <c r="IQB36" s="707"/>
      <c r="IQC36" s="707"/>
      <c r="IQD36" s="707"/>
      <c r="IQE36" s="707"/>
      <c r="IQF36" s="707"/>
      <c r="IQG36" s="707"/>
      <c r="IQH36" s="707"/>
      <c r="IQI36" s="707"/>
      <c r="IQJ36" s="707"/>
      <c r="IQK36" s="707"/>
      <c r="IQL36" s="707"/>
      <c r="IQM36" s="707"/>
      <c r="IQN36" s="707"/>
      <c r="IQO36" s="707"/>
      <c r="IQP36" s="707"/>
      <c r="IQQ36" s="707"/>
      <c r="IQR36" s="707"/>
      <c r="IQS36" s="707"/>
      <c r="IQT36" s="707"/>
      <c r="IQU36" s="707"/>
      <c r="IQV36" s="707"/>
      <c r="IQW36" s="707"/>
      <c r="IQX36" s="707"/>
      <c r="IQY36" s="707"/>
      <c r="IQZ36" s="707"/>
      <c r="IRA36" s="707"/>
      <c r="IRB36" s="707"/>
      <c r="IRC36" s="707"/>
      <c r="IRD36" s="707"/>
      <c r="IRE36" s="707"/>
      <c r="IRF36" s="707"/>
      <c r="IRG36" s="707"/>
      <c r="IRH36" s="707"/>
      <c r="IRI36" s="707"/>
      <c r="IRJ36" s="707"/>
      <c r="IRK36" s="707"/>
      <c r="IRL36" s="707"/>
      <c r="IRM36" s="707"/>
      <c r="IRN36" s="707"/>
      <c r="IRO36" s="707"/>
      <c r="IRP36" s="707"/>
      <c r="IRQ36" s="707"/>
      <c r="IRR36" s="707"/>
      <c r="IRS36" s="707"/>
      <c r="IRT36" s="707"/>
      <c r="IRU36" s="707"/>
      <c r="IRV36" s="707"/>
      <c r="IRW36" s="707"/>
      <c r="IRX36" s="707"/>
      <c r="IRY36" s="707"/>
      <c r="IRZ36" s="707"/>
      <c r="ISA36" s="707"/>
      <c r="ISB36" s="707"/>
      <c r="ISC36" s="707"/>
      <c r="ISD36" s="707"/>
      <c r="ISE36" s="707"/>
      <c r="ISF36" s="707"/>
      <c r="ISG36" s="707"/>
      <c r="ISH36" s="707"/>
      <c r="ISI36" s="707"/>
      <c r="ISJ36" s="707"/>
      <c r="ISK36" s="707"/>
      <c r="ISL36" s="707"/>
      <c r="ISM36" s="707"/>
      <c r="ISN36" s="707"/>
      <c r="ISO36" s="707"/>
      <c r="ISP36" s="707"/>
      <c r="ISQ36" s="707"/>
      <c r="ISR36" s="707"/>
      <c r="ISS36" s="707"/>
      <c r="IST36" s="707"/>
      <c r="ISU36" s="707"/>
      <c r="ISV36" s="707"/>
      <c r="ISW36" s="707"/>
      <c r="ISX36" s="707"/>
      <c r="ISY36" s="707"/>
      <c r="ISZ36" s="707"/>
      <c r="ITA36" s="707"/>
      <c r="ITB36" s="707"/>
      <c r="ITC36" s="707"/>
      <c r="ITD36" s="707"/>
      <c r="ITE36" s="707"/>
      <c r="ITF36" s="707"/>
      <c r="ITG36" s="707"/>
      <c r="ITH36" s="707"/>
      <c r="ITI36" s="707"/>
      <c r="ITJ36" s="707"/>
      <c r="ITK36" s="707"/>
      <c r="ITL36" s="707"/>
      <c r="ITM36" s="707"/>
      <c r="ITN36" s="707"/>
      <c r="ITO36" s="707"/>
      <c r="ITP36" s="707"/>
      <c r="ITQ36" s="707"/>
      <c r="ITR36" s="707"/>
      <c r="ITS36" s="707"/>
      <c r="ITT36" s="707"/>
      <c r="ITU36" s="707"/>
      <c r="ITV36" s="707"/>
      <c r="ITW36" s="707"/>
      <c r="ITX36" s="707"/>
      <c r="ITY36" s="707"/>
      <c r="ITZ36" s="707"/>
      <c r="IUA36" s="707"/>
      <c r="IUB36" s="707"/>
      <c r="IUC36" s="707"/>
      <c r="IUD36" s="707"/>
      <c r="IUE36" s="707"/>
      <c r="IUF36" s="707"/>
      <c r="IUG36" s="707"/>
      <c r="IUH36" s="707"/>
      <c r="IUI36" s="707"/>
      <c r="IUJ36" s="707"/>
      <c r="IUK36" s="707"/>
      <c r="IUL36" s="707"/>
      <c r="IUM36" s="707"/>
      <c r="IUN36" s="707"/>
      <c r="IUO36" s="707"/>
      <c r="IUP36" s="707"/>
      <c r="IUQ36" s="707"/>
      <c r="IUR36" s="707"/>
      <c r="IUS36" s="707"/>
      <c r="IUT36" s="707"/>
      <c r="IUU36" s="707"/>
      <c r="IUV36" s="707"/>
      <c r="IUW36" s="707"/>
      <c r="IUX36" s="707"/>
      <c r="IUY36" s="707"/>
      <c r="IUZ36" s="707"/>
      <c r="IVA36" s="707"/>
      <c r="IVB36" s="707"/>
      <c r="IVC36" s="707"/>
      <c r="IVD36" s="707"/>
      <c r="IVE36" s="707"/>
      <c r="IVF36" s="707"/>
      <c r="IVG36" s="707"/>
      <c r="IVH36" s="707"/>
      <c r="IVI36" s="707"/>
      <c r="IVJ36" s="707"/>
      <c r="IVK36" s="707"/>
      <c r="IVL36" s="707"/>
      <c r="IVM36" s="707"/>
      <c r="IVN36" s="707"/>
      <c r="IVO36" s="707"/>
      <c r="IVP36" s="707"/>
      <c r="IVQ36" s="707"/>
      <c r="IVR36" s="707"/>
      <c r="IVS36" s="707"/>
      <c r="IVT36" s="707"/>
      <c r="IVU36" s="707"/>
      <c r="IVV36" s="707"/>
      <c r="IVW36" s="707"/>
      <c r="IVX36" s="707"/>
      <c r="IVY36" s="707"/>
      <c r="IVZ36" s="707"/>
      <c r="IWA36" s="707"/>
      <c r="IWB36" s="707"/>
      <c r="IWC36" s="707"/>
      <c r="IWD36" s="707"/>
      <c r="IWE36" s="707"/>
      <c r="IWF36" s="707"/>
      <c r="IWG36" s="707"/>
      <c r="IWH36" s="707"/>
      <c r="IWI36" s="707"/>
      <c r="IWJ36" s="707"/>
      <c r="IWK36" s="707"/>
      <c r="IWL36" s="707"/>
      <c r="IWM36" s="707"/>
      <c r="IWN36" s="707"/>
      <c r="IWO36" s="707"/>
      <c r="IWP36" s="707"/>
      <c r="IWQ36" s="707"/>
      <c r="IWR36" s="707"/>
      <c r="IWS36" s="707"/>
      <c r="IWT36" s="707"/>
      <c r="IWU36" s="707"/>
      <c r="IWV36" s="707"/>
      <c r="IWW36" s="707"/>
      <c r="IWX36" s="707"/>
      <c r="IWY36" s="707"/>
      <c r="IWZ36" s="707"/>
      <c r="IXA36" s="707"/>
      <c r="IXB36" s="707"/>
      <c r="IXC36" s="707"/>
      <c r="IXD36" s="707"/>
      <c r="IXE36" s="707"/>
      <c r="IXF36" s="707"/>
      <c r="IXG36" s="707"/>
      <c r="IXH36" s="707"/>
      <c r="IXI36" s="707"/>
      <c r="IXJ36" s="707"/>
      <c r="IXK36" s="707"/>
      <c r="IXL36" s="707"/>
      <c r="IXM36" s="707"/>
      <c r="IXN36" s="707"/>
      <c r="IXO36" s="707"/>
      <c r="IXP36" s="707"/>
      <c r="IXQ36" s="707"/>
      <c r="IXR36" s="707"/>
      <c r="IXS36" s="707"/>
      <c r="IXT36" s="707"/>
      <c r="IXU36" s="707"/>
      <c r="IXV36" s="707"/>
      <c r="IXW36" s="707"/>
      <c r="IXX36" s="707"/>
      <c r="IXY36" s="707"/>
      <c r="IXZ36" s="707"/>
      <c r="IYA36" s="707"/>
      <c r="IYB36" s="707"/>
      <c r="IYC36" s="707"/>
      <c r="IYD36" s="707"/>
      <c r="IYE36" s="707"/>
      <c r="IYF36" s="707"/>
      <c r="IYG36" s="707"/>
      <c r="IYH36" s="707"/>
      <c r="IYI36" s="707"/>
      <c r="IYJ36" s="707"/>
      <c r="IYK36" s="707"/>
      <c r="IYL36" s="707"/>
      <c r="IYM36" s="707"/>
      <c r="IYN36" s="707"/>
      <c r="IYO36" s="707"/>
      <c r="IYP36" s="707"/>
      <c r="IYQ36" s="707"/>
      <c r="IYR36" s="707"/>
      <c r="IYS36" s="707"/>
      <c r="IYT36" s="707"/>
      <c r="IYU36" s="707"/>
      <c r="IYV36" s="707"/>
      <c r="IYW36" s="707"/>
      <c r="IYX36" s="707"/>
      <c r="IYY36" s="707"/>
      <c r="IYZ36" s="707"/>
      <c r="IZA36" s="707"/>
      <c r="IZB36" s="707"/>
      <c r="IZC36" s="707"/>
      <c r="IZD36" s="707"/>
      <c r="IZE36" s="707"/>
      <c r="IZF36" s="707"/>
      <c r="IZG36" s="707"/>
      <c r="IZH36" s="707"/>
      <c r="IZI36" s="707"/>
      <c r="IZJ36" s="707"/>
      <c r="IZK36" s="707"/>
      <c r="IZL36" s="707"/>
      <c r="IZM36" s="707"/>
      <c r="IZN36" s="707"/>
      <c r="IZO36" s="707"/>
      <c r="IZP36" s="707"/>
      <c r="IZQ36" s="707"/>
      <c r="IZR36" s="707"/>
      <c r="IZS36" s="707"/>
      <c r="IZT36" s="707"/>
      <c r="IZU36" s="707"/>
      <c r="IZV36" s="707"/>
      <c r="IZW36" s="707"/>
      <c r="IZX36" s="707"/>
      <c r="IZY36" s="707"/>
      <c r="IZZ36" s="707"/>
      <c r="JAA36" s="707"/>
      <c r="JAB36" s="707"/>
      <c r="JAC36" s="707"/>
      <c r="JAD36" s="707"/>
      <c r="JAE36" s="707"/>
      <c r="JAF36" s="707"/>
      <c r="JAG36" s="707"/>
      <c r="JAH36" s="707"/>
      <c r="JAI36" s="707"/>
      <c r="JAJ36" s="707"/>
      <c r="JAK36" s="707"/>
      <c r="JAL36" s="707"/>
      <c r="JAM36" s="707"/>
      <c r="JAN36" s="707"/>
      <c r="JAO36" s="707"/>
      <c r="JAP36" s="707"/>
      <c r="JAQ36" s="707"/>
      <c r="JAR36" s="707"/>
      <c r="JAS36" s="707"/>
      <c r="JAT36" s="707"/>
      <c r="JAU36" s="707"/>
      <c r="JAV36" s="707"/>
      <c r="JAW36" s="707"/>
      <c r="JAX36" s="707"/>
      <c r="JAY36" s="707"/>
      <c r="JAZ36" s="707"/>
      <c r="JBA36" s="707"/>
      <c r="JBB36" s="707"/>
      <c r="JBC36" s="707"/>
      <c r="JBD36" s="707"/>
      <c r="JBE36" s="707"/>
      <c r="JBF36" s="707"/>
      <c r="JBG36" s="707"/>
      <c r="JBH36" s="707"/>
      <c r="JBI36" s="707"/>
      <c r="JBJ36" s="707"/>
      <c r="JBK36" s="707"/>
      <c r="JBL36" s="707"/>
      <c r="JBM36" s="707"/>
      <c r="JBN36" s="707"/>
      <c r="JBO36" s="707"/>
      <c r="JBP36" s="707"/>
      <c r="JBQ36" s="707"/>
      <c r="JBR36" s="707"/>
      <c r="JBS36" s="707"/>
      <c r="JBT36" s="707"/>
      <c r="JBU36" s="707"/>
      <c r="JBV36" s="707"/>
      <c r="JBW36" s="707"/>
      <c r="JBX36" s="707"/>
      <c r="JBY36" s="707"/>
      <c r="JBZ36" s="707"/>
      <c r="JCA36" s="707"/>
      <c r="JCB36" s="707"/>
      <c r="JCC36" s="707"/>
      <c r="JCD36" s="707"/>
      <c r="JCE36" s="707"/>
      <c r="JCF36" s="707"/>
      <c r="JCG36" s="707"/>
      <c r="JCH36" s="707"/>
      <c r="JCI36" s="707"/>
      <c r="JCJ36" s="707"/>
      <c r="JCK36" s="707"/>
      <c r="JCL36" s="707"/>
      <c r="JCM36" s="707"/>
      <c r="JCN36" s="707"/>
      <c r="JCO36" s="707"/>
      <c r="JCP36" s="707"/>
      <c r="JCQ36" s="707"/>
      <c r="JCR36" s="707"/>
      <c r="JCS36" s="707"/>
      <c r="JCT36" s="707"/>
      <c r="JCU36" s="707"/>
      <c r="JCV36" s="707"/>
      <c r="JCW36" s="707"/>
      <c r="JCX36" s="707"/>
      <c r="JCY36" s="707"/>
      <c r="JCZ36" s="707"/>
      <c r="JDA36" s="707"/>
      <c r="JDB36" s="707"/>
      <c r="JDC36" s="707"/>
      <c r="JDD36" s="707"/>
      <c r="JDE36" s="707"/>
      <c r="JDF36" s="707"/>
      <c r="JDG36" s="707"/>
      <c r="JDH36" s="707"/>
      <c r="JDI36" s="707"/>
      <c r="JDJ36" s="707"/>
      <c r="JDK36" s="707"/>
      <c r="JDL36" s="707"/>
      <c r="JDM36" s="707"/>
      <c r="JDN36" s="707"/>
      <c r="JDO36" s="707"/>
      <c r="JDP36" s="707"/>
      <c r="JDQ36" s="707"/>
      <c r="JDR36" s="707"/>
      <c r="JDS36" s="707"/>
      <c r="JDT36" s="707"/>
      <c r="JDU36" s="707"/>
      <c r="JDV36" s="707"/>
      <c r="JDW36" s="707"/>
      <c r="JDX36" s="707"/>
      <c r="JDY36" s="707"/>
      <c r="JDZ36" s="707"/>
      <c r="JEA36" s="707"/>
      <c r="JEB36" s="707"/>
      <c r="JEC36" s="707"/>
      <c r="JED36" s="707"/>
      <c r="JEE36" s="707"/>
      <c r="JEF36" s="707"/>
      <c r="JEG36" s="707"/>
      <c r="JEH36" s="707"/>
      <c r="JEI36" s="707"/>
      <c r="JEJ36" s="707"/>
      <c r="JEK36" s="707"/>
      <c r="JEL36" s="707"/>
      <c r="JEM36" s="707"/>
      <c r="JEN36" s="707"/>
      <c r="JEO36" s="707"/>
      <c r="JEP36" s="707"/>
      <c r="JEQ36" s="707"/>
      <c r="JER36" s="707"/>
      <c r="JES36" s="707"/>
      <c r="JET36" s="707"/>
      <c r="JEU36" s="707"/>
      <c r="JEV36" s="707"/>
      <c r="JEW36" s="707"/>
      <c r="JEX36" s="707"/>
      <c r="JEY36" s="707"/>
      <c r="JEZ36" s="707"/>
      <c r="JFA36" s="707"/>
      <c r="JFB36" s="707"/>
      <c r="JFC36" s="707"/>
      <c r="JFD36" s="707"/>
      <c r="JFE36" s="707"/>
      <c r="JFF36" s="707"/>
      <c r="JFG36" s="707"/>
      <c r="JFH36" s="707"/>
      <c r="JFI36" s="707"/>
      <c r="JFJ36" s="707"/>
      <c r="JFK36" s="707"/>
      <c r="JFL36" s="707"/>
      <c r="JFM36" s="707"/>
      <c r="JFN36" s="707"/>
      <c r="JFO36" s="707"/>
      <c r="JFP36" s="707"/>
      <c r="JFQ36" s="707"/>
      <c r="JFR36" s="707"/>
      <c r="JFS36" s="707"/>
      <c r="JFT36" s="707"/>
      <c r="JFU36" s="707"/>
      <c r="JFV36" s="707"/>
      <c r="JFW36" s="707"/>
      <c r="JFX36" s="707"/>
      <c r="JFY36" s="707"/>
      <c r="JFZ36" s="707"/>
      <c r="JGA36" s="707"/>
      <c r="JGB36" s="707"/>
      <c r="JGC36" s="707"/>
      <c r="JGD36" s="707"/>
      <c r="JGE36" s="707"/>
      <c r="JGF36" s="707"/>
      <c r="JGG36" s="707"/>
      <c r="JGH36" s="707"/>
      <c r="JGI36" s="707"/>
      <c r="JGJ36" s="707"/>
      <c r="JGK36" s="707"/>
      <c r="JGL36" s="707"/>
      <c r="JGM36" s="707"/>
      <c r="JGN36" s="707"/>
      <c r="JGO36" s="707"/>
      <c r="JGP36" s="707"/>
      <c r="JGQ36" s="707"/>
      <c r="JGR36" s="707"/>
      <c r="JGS36" s="707"/>
      <c r="JGT36" s="707"/>
      <c r="JGU36" s="707"/>
      <c r="JGV36" s="707"/>
      <c r="JGW36" s="707"/>
      <c r="JGX36" s="707"/>
      <c r="JGY36" s="707"/>
      <c r="JGZ36" s="707"/>
      <c r="JHA36" s="707"/>
      <c r="JHB36" s="707"/>
      <c r="JHC36" s="707"/>
      <c r="JHD36" s="707"/>
      <c r="JHE36" s="707"/>
      <c r="JHF36" s="707"/>
      <c r="JHG36" s="707"/>
      <c r="JHH36" s="707"/>
      <c r="JHI36" s="707"/>
      <c r="JHJ36" s="707"/>
      <c r="JHK36" s="707"/>
      <c r="JHL36" s="707"/>
      <c r="JHM36" s="707"/>
      <c r="JHN36" s="707"/>
      <c r="JHO36" s="707"/>
      <c r="JHP36" s="707"/>
      <c r="JHQ36" s="707"/>
      <c r="JHR36" s="707"/>
      <c r="JHS36" s="707"/>
      <c r="JHT36" s="707"/>
      <c r="JHU36" s="707"/>
      <c r="JHV36" s="707"/>
      <c r="JHW36" s="707"/>
      <c r="JHX36" s="707"/>
      <c r="JHY36" s="707"/>
      <c r="JHZ36" s="707"/>
      <c r="JIA36" s="707"/>
      <c r="JIB36" s="707"/>
      <c r="JIC36" s="707"/>
      <c r="JID36" s="707"/>
      <c r="JIE36" s="707"/>
      <c r="JIF36" s="707"/>
      <c r="JIG36" s="707"/>
      <c r="JIH36" s="707"/>
      <c r="JII36" s="707"/>
      <c r="JIJ36" s="707"/>
      <c r="JIK36" s="707"/>
      <c r="JIL36" s="707"/>
      <c r="JIM36" s="707"/>
      <c r="JIN36" s="707"/>
      <c r="JIO36" s="707"/>
      <c r="JIP36" s="707"/>
      <c r="JIQ36" s="707"/>
      <c r="JIR36" s="707"/>
      <c r="JIS36" s="707"/>
      <c r="JIT36" s="707"/>
      <c r="JIU36" s="707"/>
      <c r="JIV36" s="707"/>
      <c r="JIW36" s="707"/>
      <c r="JIX36" s="707"/>
      <c r="JIY36" s="707"/>
      <c r="JIZ36" s="707"/>
      <c r="JJA36" s="707"/>
      <c r="JJB36" s="707"/>
      <c r="JJC36" s="707"/>
      <c r="JJD36" s="707"/>
      <c r="JJE36" s="707"/>
      <c r="JJF36" s="707"/>
      <c r="JJG36" s="707"/>
      <c r="JJH36" s="707"/>
      <c r="JJI36" s="707"/>
      <c r="JJJ36" s="707"/>
      <c r="JJK36" s="707"/>
      <c r="JJL36" s="707"/>
      <c r="JJM36" s="707"/>
      <c r="JJN36" s="707"/>
      <c r="JJO36" s="707"/>
      <c r="JJP36" s="707"/>
      <c r="JJQ36" s="707"/>
      <c r="JJR36" s="707"/>
      <c r="JJS36" s="707"/>
      <c r="JJT36" s="707"/>
      <c r="JJU36" s="707"/>
      <c r="JJV36" s="707"/>
      <c r="JJW36" s="707"/>
      <c r="JJX36" s="707"/>
      <c r="JJY36" s="707"/>
      <c r="JJZ36" s="707"/>
      <c r="JKA36" s="707"/>
      <c r="JKB36" s="707"/>
      <c r="JKC36" s="707"/>
      <c r="JKD36" s="707"/>
      <c r="JKE36" s="707"/>
      <c r="JKF36" s="707"/>
      <c r="JKG36" s="707"/>
      <c r="JKH36" s="707"/>
      <c r="JKI36" s="707"/>
      <c r="JKJ36" s="707"/>
      <c r="JKK36" s="707"/>
      <c r="JKL36" s="707"/>
      <c r="JKM36" s="707"/>
      <c r="JKN36" s="707"/>
      <c r="JKO36" s="707"/>
      <c r="JKP36" s="707"/>
      <c r="JKQ36" s="707"/>
      <c r="JKR36" s="707"/>
      <c r="JKS36" s="707"/>
      <c r="JKT36" s="707"/>
      <c r="JKU36" s="707"/>
      <c r="JKV36" s="707"/>
      <c r="JKW36" s="707"/>
      <c r="JKX36" s="707"/>
      <c r="JKY36" s="707"/>
      <c r="JKZ36" s="707"/>
      <c r="JLA36" s="707"/>
      <c r="JLB36" s="707"/>
      <c r="JLC36" s="707"/>
      <c r="JLD36" s="707"/>
      <c r="JLE36" s="707"/>
      <c r="JLF36" s="707"/>
      <c r="JLG36" s="707"/>
      <c r="JLH36" s="707"/>
      <c r="JLI36" s="707"/>
      <c r="JLJ36" s="707"/>
      <c r="JLK36" s="707"/>
      <c r="JLL36" s="707"/>
      <c r="JLM36" s="707"/>
      <c r="JLN36" s="707"/>
      <c r="JLO36" s="707"/>
      <c r="JLP36" s="707"/>
      <c r="JLQ36" s="707"/>
      <c r="JLR36" s="707"/>
      <c r="JLS36" s="707"/>
      <c r="JLT36" s="707"/>
      <c r="JLU36" s="707"/>
      <c r="JLV36" s="707"/>
      <c r="JLW36" s="707"/>
      <c r="JLX36" s="707"/>
      <c r="JLY36" s="707"/>
      <c r="JLZ36" s="707"/>
      <c r="JMA36" s="707"/>
      <c r="JMB36" s="707"/>
      <c r="JMC36" s="707"/>
      <c r="JMD36" s="707"/>
      <c r="JME36" s="707"/>
      <c r="JMF36" s="707"/>
      <c r="JMG36" s="707"/>
      <c r="JMH36" s="707"/>
      <c r="JMI36" s="707"/>
      <c r="JMJ36" s="707"/>
      <c r="JMK36" s="707"/>
      <c r="JML36" s="707"/>
      <c r="JMM36" s="707"/>
      <c r="JMN36" s="707"/>
      <c r="JMO36" s="707"/>
      <c r="JMP36" s="707"/>
      <c r="JMQ36" s="707"/>
      <c r="JMR36" s="707"/>
      <c r="JMS36" s="707"/>
      <c r="JMT36" s="707"/>
      <c r="JMU36" s="707"/>
      <c r="JMV36" s="707"/>
      <c r="JMW36" s="707"/>
      <c r="JMX36" s="707"/>
      <c r="JMY36" s="707"/>
      <c r="JMZ36" s="707"/>
      <c r="JNA36" s="707"/>
      <c r="JNB36" s="707"/>
      <c r="JNC36" s="707"/>
      <c r="JND36" s="707"/>
      <c r="JNE36" s="707"/>
      <c r="JNF36" s="707"/>
      <c r="JNG36" s="707"/>
      <c r="JNH36" s="707"/>
      <c r="JNI36" s="707"/>
      <c r="JNJ36" s="707"/>
      <c r="JNK36" s="707"/>
      <c r="JNL36" s="707"/>
      <c r="JNM36" s="707"/>
      <c r="JNN36" s="707"/>
      <c r="JNO36" s="707"/>
      <c r="JNP36" s="707"/>
      <c r="JNQ36" s="707"/>
      <c r="JNR36" s="707"/>
      <c r="JNS36" s="707"/>
      <c r="JNT36" s="707"/>
      <c r="JNU36" s="707"/>
      <c r="JNV36" s="707"/>
      <c r="JNW36" s="707"/>
      <c r="JNX36" s="707"/>
      <c r="JNY36" s="707"/>
      <c r="JNZ36" s="707"/>
      <c r="JOA36" s="707"/>
      <c r="JOB36" s="707"/>
      <c r="JOC36" s="707"/>
      <c r="JOD36" s="707"/>
      <c r="JOE36" s="707"/>
      <c r="JOF36" s="707"/>
      <c r="JOG36" s="707"/>
      <c r="JOH36" s="707"/>
      <c r="JOI36" s="707"/>
      <c r="JOJ36" s="707"/>
      <c r="JOK36" s="707"/>
      <c r="JOL36" s="707"/>
      <c r="JOM36" s="707"/>
      <c r="JON36" s="707"/>
      <c r="JOO36" s="707"/>
      <c r="JOP36" s="707"/>
      <c r="JOQ36" s="707"/>
      <c r="JOR36" s="707"/>
      <c r="JOS36" s="707"/>
      <c r="JOT36" s="707"/>
      <c r="JOU36" s="707"/>
      <c r="JOV36" s="707"/>
      <c r="JOW36" s="707"/>
      <c r="JOX36" s="707"/>
      <c r="JOY36" s="707"/>
      <c r="JOZ36" s="707"/>
      <c r="JPA36" s="707"/>
      <c r="JPB36" s="707"/>
      <c r="JPC36" s="707"/>
      <c r="JPD36" s="707"/>
      <c r="JPE36" s="707"/>
      <c r="JPF36" s="707"/>
      <c r="JPG36" s="707"/>
      <c r="JPH36" s="707"/>
      <c r="JPI36" s="707"/>
      <c r="JPJ36" s="707"/>
      <c r="JPK36" s="707"/>
      <c r="JPL36" s="707"/>
      <c r="JPM36" s="707"/>
      <c r="JPN36" s="707"/>
      <c r="JPO36" s="707"/>
      <c r="JPP36" s="707"/>
      <c r="JPQ36" s="707"/>
      <c r="JPR36" s="707"/>
      <c r="JPS36" s="707"/>
      <c r="JPT36" s="707"/>
      <c r="JPU36" s="707"/>
      <c r="JPV36" s="707"/>
      <c r="JPW36" s="707"/>
      <c r="JPX36" s="707"/>
      <c r="JPY36" s="707"/>
      <c r="JPZ36" s="707"/>
      <c r="JQA36" s="707"/>
      <c r="JQB36" s="707"/>
      <c r="JQC36" s="707"/>
      <c r="JQD36" s="707"/>
      <c r="JQE36" s="707"/>
      <c r="JQF36" s="707"/>
      <c r="JQG36" s="707"/>
      <c r="JQH36" s="707"/>
      <c r="JQI36" s="707"/>
      <c r="JQJ36" s="707"/>
      <c r="JQK36" s="707"/>
      <c r="JQL36" s="707"/>
      <c r="JQM36" s="707"/>
      <c r="JQN36" s="707"/>
      <c r="JQO36" s="707"/>
      <c r="JQP36" s="707"/>
      <c r="JQQ36" s="707"/>
      <c r="JQR36" s="707"/>
      <c r="JQS36" s="707"/>
      <c r="JQT36" s="707"/>
      <c r="JQU36" s="707"/>
      <c r="JQV36" s="707"/>
      <c r="JQW36" s="707"/>
      <c r="JQX36" s="707"/>
      <c r="JQY36" s="707"/>
      <c r="JQZ36" s="707"/>
      <c r="JRA36" s="707"/>
      <c r="JRB36" s="707"/>
      <c r="JRC36" s="707"/>
      <c r="JRD36" s="707"/>
      <c r="JRE36" s="707"/>
      <c r="JRF36" s="707"/>
      <c r="JRG36" s="707"/>
      <c r="JRH36" s="707"/>
      <c r="JRI36" s="707"/>
      <c r="JRJ36" s="707"/>
      <c r="JRK36" s="707"/>
      <c r="JRL36" s="707"/>
      <c r="JRM36" s="707"/>
      <c r="JRN36" s="707"/>
      <c r="JRO36" s="707"/>
      <c r="JRP36" s="707"/>
      <c r="JRQ36" s="707"/>
      <c r="JRR36" s="707"/>
      <c r="JRS36" s="707"/>
      <c r="JRT36" s="707"/>
      <c r="JRU36" s="707"/>
      <c r="JRV36" s="707"/>
      <c r="JRW36" s="707"/>
      <c r="JRX36" s="707"/>
      <c r="JRY36" s="707"/>
      <c r="JRZ36" s="707"/>
      <c r="JSA36" s="707"/>
      <c r="JSB36" s="707"/>
      <c r="JSC36" s="707"/>
      <c r="JSD36" s="707"/>
      <c r="JSE36" s="707"/>
      <c r="JSF36" s="707"/>
      <c r="JSG36" s="707"/>
      <c r="JSH36" s="707"/>
      <c r="JSI36" s="707"/>
      <c r="JSJ36" s="707"/>
      <c r="JSK36" s="707"/>
      <c r="JSL36" s="707"/>
      <c r="JSM36" s="707"/>
      <c r="JSN36" s="707"/>
      <c r="JSO36" s="707"/>
      <c r="JSP36" s="707"/>
      <c r="JSQ36" s="707"/>
      <c r="JSR36" s="707"/>
      <c r="JSS36" s="707"/>
      <c r="JST36" s="707"/>
      <c r="JSU36" s="707"/>
      <c r="JSV36" s="707"/>
      <c r="JSW36" s="707"/>
      <c r="JSX36" s="707"/>
      <c r="JSY36" s="707"/>
      <c r="JSZ36" s="707"/>
      <c r="JTA36" s="707"/>
      <c r="JTB36" s="707"/>
      <c r="JTC36" s="707"/>
      <c r="JTD36" s="707"/>
      <c r="JTE36" s="707"/>
      <c r="JTF36" s="707"/>
      <c r="JTG36" s="707"/>
      <c r="JTH36" s="707"/>
      <c r="JTI36" s="707"/>
      <c r="JTJ36" s="707"/>
      <c r="JTK36" s="707"/>
      <c r="JTL36" s="707"/>
      <c r="JTM36" s="707"/>
      <c r="JTN36" s="707"/>
      <c r="JTO36" s="707"/>
      <c r="JTP36" s="707"/>
      <c r="JTQ36" s="707"/>
      <c r="JTR36" s="707"/>
      <c r="JTS36" s="707"/>
      <c r="JTT36" s="707"/>
      <c r="JTU36" s="707"/>
      <c r="JTV36" s="707"/>
      <c r="JTW36" s="707"/>
      <c r="JTX36" s="707"/>
      <c r="JTY36" s="707"/>
      <c r="JTZ36" s="707"/>
      <c r="JUA36" s="707"/>
      <c r="JUB36" s="707"/>
      <c r="JUC36" s="707"/>
      <c r="JUD36" s="707"/>
      <c r="JUE36" s="707"/>
      <c r="JUF36" s="707"/>
      <c r="JUG36" s="707"/>
      <c r="JUH36" s="707"/>
      <c r="JUI36" s="707"/>
      <c r="JUJ36" s="707"/>
      <c r="JUK36" s="707"/>
      <c r="JUL36" s="707"/>
      <c r="JUM36" s="707"/>
      <c r="JUN36" s="707"/>
      <c r="JUO36" s="707"/>
      <c r="JUP36" s="707"/>
      <c r="JUQ36" s="707"/>
      <c r="JUR36" s="707"/>
      <c r="JUS36" s="707"/>
      <c r="JUT36" s="707"/>
      <c r="JUU36" s="707"/>
      <c r="JUV36" s="707"/>
      <c r="JUW36" s="707"/>
      <c r="JUX36" s="707"/>
      <c r="JUY36" s="707"/>
      <c r="JUZ36" s="707"/>
      <c r="JVA36" s="707"/>
      <c r="JVB36" s="707"/>
      <c r="JVC36" s="707"/>
      <c r="JVD36" s="707"/>
      <c r="JVE36" s="707"/>
      <c r="JVF36" s="707"/>
      <c r="JVG36" s="707"/>
      <c r="JVH36" s="707"/>
      <c r="JVI36" s="707"/>
      <c r="JVJ36" s="707"/>
      <c r="JVK36" s="707"/>
      <c r="JVL36" s="707"/>
      <c r="JVM36" s="707"/>
      <c r="JVN36" s="707"/>
      <c r="JVO36" s="707"/>
      <c r="JVP36" s="707"/>
      <c r="JVQ36" s="707"/>
      <c r="JVR36" s="707"/>
      <c r="JVS36" s="707"/>
      <c r="JVT36" s="707"/>
      <c r="JVU36" s="707"/>
      <c r="JVV36" s="707"/>
      <c r="JVW36" s="707"/>
      <c r="JVX36" s="707"/>
      <c r="JVY36" s="707"/>
      <c r="JVZ36" s="707"/>
      <c r="JWA36" s="707"/>
      <c r="JWB36" s="707"/>
      <c r="JWC36" s="707"/>
      <c r="JWD36" s="707"/>
      <c r="JWE36" s="707"/>
      <c r="JWF36" s="707"/>
      <c r="JWG36" s="707"/>
      <c r="JWH36" s="707"/>
      <c r="JWI36" s="707"/>
      <c r="JWJ36" s="707"/>
      <c r="JWK36" s="707"/>
      <c r="JWL36" s="707"/>
      <c r="JWM36" s="707"/>
      <c r="JWN36" s="707"/>
      <c r="JWO36" s="707"/>
      <c r="JWP36" s="707"/>
      <c r="JWQ36" s="707"/>
      <c r="JWR36" s="707"/>
      <c r="JWS36" s="707"/>
      <c r="JWT36" s="707"/>
      <c r="JWU36" s="707"/>
      <c r="JWV36" s="707"/>
      <c r="JWW36" s="707"/>
      <c r="JWX36" s="707"/>
      <c r="JWY36" s="707"/>
      <c r="JWZ36" s="707"/>
      <c r="JXA36" s="707"/>
      <c r="JXB36" s="707"/>
      <c r="JXC36" s="707"/>
      <c r="JXD36" s="707"/>
      <c r="JXE36" s="707"/>
      <c r="JXF36" s="707"/>
      <c r="JXG36" s="707"/>
      <c r="JXH36" s="707"/>
      <c r="JXI36" s="707"/>
      <c r="JXJ36" s="707"/>
      <c r="JXK36" s="707"/>
      <c r="JXL36" s="707"/>
      <c r="JXM36" s="707"/>
      <c r="JXN36" s="707"/>
      <c r="JXO36" s="707"/>
      <c r="JXP36" s="707"/>
      <c r="JXQ36" s="707"/>
      <c r="JXR36" s="707"/>
      <c r="JXS36" s="707"/>
      <c r="JXT36" s="707"/>
      <c r="JXU36" s="707"/>
      <c r="JXV36" s="707"/>
      <c r="JXW36" s="707"/>
      <c r="JXX36" s="707"/>
      <c r="JXY36" s="707"/>
      <c r="JXZ36" s="707"/>
      <c r="JYA36" s="707"/>
      <c r="JYB36" s="707"/>
      <c r="JYC36" s="707"/>
      <c r="JYD36" s="707"/>
      <c r="JYE36" s="707"/>
      <c r="JYF36" s="707"/>
      <c r="JYG36" s="707"/>
      <c r="JYH36" s="707"/>
      <c r="JYI36" s="707"/>
      <c r="JYJ36" s="707"/>
      <c r="JYK36" s="707"/>
      <c r="JYL36" s="707"/>
      <c r="JYM36" s="707"/>
      <c r="JYN36" s="707"/>
      <c r="JYO36" s="707"/>
      <c r="JYP36" s="707"/>
      <c r="JYQ36" s="707"/>
      <c r="JYR36" s="707"/>
      <c r="JYS36" s="707"/>
      <c r="JYT36" s="707"/>
      <c r="JYU36" s="707"/>
      <c r="JYV36" s="707"/>
      <c r="JYW36" s="707"/>
      <c r="JYX36" s="707"/>
      <c r="JYY36" s="707"/>
      <c r="JYZ36" s="707"/>
      <c r="JZA36" s="707"/>
      <c r="JZB36" s="707"/>
      <c r="JZC36" s="707"/>
      <c r="JZD36" s="707"/>
      <c r="JZE36" s="707"/>
      <c r="JZF36" s="707"/>
      <c r="JZG36" s="707"/>
      <c r="JZH36" s="707"/>
      <c r="JZI36" s="707"/>
      <c r="JZJ36" s="707"/>
      <c r="JZK36" s="707"/>
      <c r="JZL36" s="707"/>
      <c r="JZM36" s="707"/>
      <c r="JZN36" s="707"/>
      <c r="JZO36" s="707"/>
      <c r="JZP36" s="707"/>
      <c r="JZQ36" s="707"/>
      <c r="JZR36" s="707"/>
      <c r="JZS36" s="707"/>
      <c r="JZT36" s="707"/>
      <c r="JZU36" s="707"/>
      <c r="JZV36" s="707"/>
      <c r="JZW36" s="707"/>
      <c r="JZX36" s="707"/>
      <c r="JZY36" s="707"/>
      <c r="JZZ36" s="707"/>
      <c r="KAA36" s="707"/>
      <c r="KAB36" s="707"/>
      <c r="KAC36" s="707"/>
      <c r="KAD36" s="707"/>
      <c r="KAE36" s="707"/>
      <c r="KAF36" s="707"/>
      <c r="KAG36" s="707"/>
      <c r="KAH36" s="707"/>
      <c r="KAI36" s="707"/>
      <c r="KAJ36" s="707"/>
      <c r="KAK36" s="707"/>
      <c r="KAL36" s="707"/>
      <c r="KAM36" s="707"/>
      <c r="KAN36" s="707"/>
      <c r="KAO36" s="707"/>
      <c r="KAP36" s="707"/>
      <c r="KAQ36" s="707"/>
      <c r="KAR36" s="707"/>
      <c r="KAS36" s="707"/>
      <c r="KAT36" s="707"/>
      <c r="KAU36" s="707"/>
      <c r="KAV36" s="707"/>
      <c r="KAW36" s="707"/>
      <c r="KAX36" s="707"/>
      <c r="KAY36" s="707"/>
      <c r="KAZ36" s="707"/>
      <c r="KBA36" s="707"/>
      <c r="KBB36" s="707"/>
      <c r="KBC36" s="707"/>
      <c r="KBD36" s="707"/>
      <c r="KBE36" s="707"/>
      <c r="KBF36" s="707"/>
      <c r="KBG36" s="707"/>
      <c r="KBH36" s="707"/>
      <c r="KBI36" s="707"/>
      <c r="KBJ36" s="707"/>
      <c r="KBK36" s="707"/>
      <c r="KBL36" s="707"/>
      <c r="KBM36" s="707"/>
      <c r="KBN36" s="707"/>
      <c r="KBO36" s="707"/>
      <c r="KBP36" s="707"/>
      <c r="KBQ36" s="707"/>
      <c r="KBR36" s="707"/>
      <c r="KBS36" s="707"/>
      <c r="KBT36" s="707"/>
      <c r="KBU36" s="707"/>
      <c r="KBV36" s="707"/>
      <c r="KBW36" s="707"/>
      <c r="KBX36" s="707"/>
      <c r="KBY36" s="707"/>
      <c r="KBZ36" s="707"/>
      <c r="KCA36" s="707"/>
      <c r="KCB36" s="707"/>
      <c r="KCC36" s="707"/>
      <c r="KCD36" s="707"/>
      <c r="KCE36" s="707"/>
      <c r="KCF36" s="707"/>
      <c r="KCG36" s="707"/>
      <c r="KCH36" s="707"/>
      <c r="KCI36" s="707"/>
      <c r="KCJ36" s="707"/>
      <c r="KCK36" s="707"/>
      <c r="KCL36" s="707"/>
      <c r="KCM36" s="707"/>
      <c r="KCN36" s="707"/>
      <c r="KCO36" s="707"/>
      <c r="KCP36" s="707"/>
      <c r="KCQ36" s="707"/>
      <c r="KCR36" s="707"/>
      <c r="KCS36" s="707"/>
      <c r="KCT36" s="707"/>
      <c r="KCU36" s="707"/>
      <c r="KCV36" s="707"/>
      <c r="KCW36" s="707"/>
      <c r="KCX36" s="707"/>
      <c r="KCY36" s="707"/>
      <c r="KCZ36" s="707"/>
      <c r="KDA36" s="707"/>
      <c r="KDB36" s="707"/>
      <c r="KDC36" s="707"/>
      <c r="KDD36" s="707"/>
      <c r="KDE36" s="707"/>
      <c r="KDF36" s="707"/>
      <c r="KDG36" s="707"/>
      <c r="KDH36" s="707"/>
      <c r="KDI36" s="707"/>
      <c r="KDJ36" s="707"/>
      <c r="KDK36" s="707"/>
      <c r="KDL36" s="707"/>
      <c r="KDM36" s="707"/>
      <c r="KDN36" s="707"/>
      <c r="KDO36" s="707"/>
      <c r="KDP36" s="707"/>
      <c r="KDQ36" s="707"/>
      <c r="KDR36" s="707"/>
      <c r="KDS36" s="707"/>
      <c r="KDT36" s="707"/>
      <c r="KDU36" s="707"/>
      <c r="KDV36" s="707"/>
      <c r="KDW36" s="707"/>
      <c r="KDX36" s="707"/>
      <c r="KDY36" s="707"/>
      <c r="KDZ36" s="707"/>
      <c r="KEA36" s="707"/>
      <c r="KEB36" s="707"/>
      <c r="KEC36" s="707"/>
      <c r="KED36" s="707"/>
      <c r="KEE36" s="707"/>
      <c r="KEF36" s="707"/>
      <c r="KEG36" s="707"/>
      <c r="KEH36" s="707"/>
      <c r="KEI36" s="707"/>
      <c r="KEJ36" s="707"/>
      <c r="KEK36" s="707"/>
      <c r="KEL36" s="707"/>
      <c r="KEM36" s="707"/>
      <c r="KEN36" s="707"/>
      <c r="KEO36" s="707"/>
      <c r="KEP36" s="707"/>
      <c r="KEQ36" s="707"/>
      <c r="KER36" s="707"/>
      <c r="KES36" s="707"/>
      <c r="KET36" s="707"/>
      <c r="KEU36" s="707"/>
      <c r="KEV36" s="707"/>
      <c r="KEW36" s="707"/>
      <c r="KEX36" s="707"/>
      <c r="KEY36" s="707"/>
      <c r="KEZ36" s="707"/>
      <c r="KFA36" s="707"/>
      <c r="KFB36" s="707"/>
      <c r="KFC36" s="707"/>
      <c r="KFD36" s="707"/>
      <c r="KFE36" s="707"/>
      <c r="KFF36" s="707"/>
      <c r="KFG36" s="707"/>
      <c r="KFH36" s="707"/>
      <c r="KFI36" s="707"/>
      <c r="KFJ36" s="707"/>
      <c r="KFK36" s="707"/>
      <c r="KFL36" s="707"/>
      <c r="KFM36" s="707"/>
      <c r="KFN36" s="707"/>
      <c r="KFO36" s="707"/>
      <c r="KFP36" s="707"/>
      <c r="KFQ36" s="707"/>
      <c r="KFR36" s="707"/>
      <c r="KFS36" s="707"/>
      <c r="KFT36" s="707"/>
      <c r="KFU36" s="707"/>
      <c r="KFV36" s="707"/>
      <c r="KFW36" s="707"/>
      <c r="KFX36" s="707"/>
      <c r="KFY36" s="707"/>
      <c r="KFZ36" s="707"/>
      <c r="KGA36" s="707"/>
      <c r="KGB36" s="707"/>
      <c r="KGC36" s="707"/>
      <c r="KGD36" s="707"/>
      <c r="KGE36" s="707"/>
      <c r="KGF36" s="707"/>
      <c r="KGG36" s="707"/>
      <c r="KGH36" s="707"/>
      <c r="KGI36" s="707"/>
      <c r="KGJ36" s="707"/>
      <c r="KGK36" s="707"/>
      <c r="KGL36" s="707"/>
      <c r="KGM36" s="707"/>
      <c r="KGN36" s="707"/>
      <c r="KGO36" s="707"/>
      <c r="KGP36" s="707"/>
      <c r="KGQ36" s="707"/>
      <c r="KGR36" s="707"/>
      <c r="KGS36" s="707"/>
      <c r="KGT36" s="707"/>
      <c r="KGU36" s="707"/>
      <c r="KGV36" s="707"/>
      <c r="KGW36" s="707"/>
      <c r="KGX36" s="707"/>
      <c r="KGY36" s="707"/>
      <c r="KGZ36" s="707"/>
      <c r="KHA36" s="707"/>
      <c r="KHB36" s="707"/>
      <c r="KHC36" s="707"/>
      <c r="KHD36" s="707"/>
      <c r="KHE36" s="707"/>
      <c r="KHF36" s="707"/>
      <c r="KHG36" s="707"/>
      <c r="KHH36" s="707"/>
      <c r="KHI36" s="707"/>
      <c r="KHJ36" s="707"/>
      <c r="KHK36" s="707"/>
      <c r="KHL36" s="707"/>
      <c r="KHM36" s="707"/>
      <c r="KHN36" s="707"/>
      <c r="KHO36" s="707"/>
      <c r="KHP36" s="707"/>
      <c r="KHQ36" s="707"/>
      <c r="KHR36" s="707"/>
      <c r="KHS36" s="707"/>
      <c r="KHT36" s="707"/>
      <c r="KHU36" s="707"/>
      <c r="KHV36" s="707"/>
      <c r="KHW36" s="707"/>
      <c r="KHX36" s="707"/>
      <c r="KHY36" s="707"/>
      <c r="KHZ36" s="707"/>
      <c r="KIA36" s="707"/>
      <c r="KIB36" s="707"/>
      <c r="KIC36" s="707"/>
      <c r="KID36" s="707"/>
      <c r="KIE36" s="707"/>
      <c r="KIF36" s="707"/>
      <c r="KIG36" s="707"/>
      <c r="KIH36" s="707"/>
      <c r="KII36" s="707"/>
      <c r="KIJ36" s="707"/>
      <c r="KIK36" s="707"/>
      <c r="KIL36" s="707"/>
      <c r="KIM36" s="707"/>
      <c r="KIN36" s="707"/>
      <c r="KIO36" s="707"/>
      <c r="KIP36" s="707"/>
      <c r="KIQ36" s="707"/>
      <c r="KIR36" s="707"/>
      <c r="KIS36" s="707"/>
      <c r="KIT36" s="707"/>
      <c r="KIU36" s="707"/>
      <c r="KIV36" s="707"/>
      <c r="KIW36" s="707"/>
      <c r="KIX36" s="707"/>
      <c r="KIY36" s="707"/>
      <c r="KIZ36" s="707"/>
      <c r="KJA36" s="707"/>
      <c r="KJB36" s="707"/>
      <c r="KJC36" s="707"/>
      <c r="KJD36" s="707"/>
      <c r="KJE36" s="707"/>
      <c r="KJF36" s="707"/>
      <c r="KJG36" s="707"/>
      <c r="KJH36" s="707"/>
      <c r="KJI36" s="707"/>
      <c r="KJJ36" s="707"/>
      <c r="KJK36" s="707"/>
      <c r="KJL36" s="707"/>
      <c r="KJM36" s="707"/>
      <c r="KJN36" s="707"/>
      <c r="KJO36" s="707"/>
      <c r="KJP36" s="707"/>
      <c r="KJQ36" s="707"/>
      <c r="KJR36" s="707"/>
      <c r="KJS36" s="707"/>
      <c r="KJT36" s="707"/>
      <c r="KJU36" s="707"/>
      <c r="KJV36" s="707"/>
      <c r="KJW36" s="707"/>
      <c r="KJX36" s="707"/>
      <c r="KJY36" s="707"/>
      <c r="KJZ36" s="707"/>
      <c r="KKA36" s="707"/>
      <c r="KKB36" s="707"/>
      <c r="KKC36" s="707"/>
      <c r="KKD36" s="707"/>
      <c r="KKE36" s="707"/>
      <c r="KKF36" s="707"/>
      <c r="KKG36" s="707"/>
      <c r="KKH36" s="707"/>
      <c r="KKI36" s="707"/>
      <c r="KKJ36" s="707"/>
      <c r="KKK36" s="707"/>
      <c r="KKL36" s="707"/>
      <c r="KKM36" s="707"/>
      <c r="KKN36" s="707"/>
      <c r="KKO36" s="707"/>
      <c r="KKP36" s="707"/>
      <c r="KKQ36" s="707"/>
      <c r="KKR36" s="707"/>
      <c r="KKS36" s="707"/>
      <c r="KKT36" s="707"/>
      <c r="KKU36" s="707"/>
      <c r="KKV36" s="707"/>
      <c r="KKW36" s="707"/>
      <c r="KKX36" s="707"/>
      <c r="KKY36" s="707"/>
      <c r="KKZ36" s="707"/>
      <c r="KLA36" s="707"/>
      <c r="KLB36" s="707"/>
      <c r="KLC36" s="707"/>
      <c r="KLD36" s="707"/>
      <c r="KLE36" s="707"/>
      <c r="KLF36" s="707"/>
      <c r="KLG36" s="707"/>
      <c r="KLH36" s="707"/>
      <c r="KLI36" s="707"/>
      <c r="KLJ36" s="707"/>
      <c r="KLK36" s="707"/>
      <c r="KLL36" s="707"/>
      <c r="KLM36" s="707"/>
      <c r="KLN36" s="707"/>
      <c r="KLO36" s="707"/>
      <c r="KLP36" s="707"/>
      <c r="KLQ36" s="707"/>
      <c r="KLR36" s="707"/>
      <c r="KLS36" s="707"/>
      <c r="KLT36" s="707"/>
      <c r="KLU36" s="707"/>
      <c r="KLV36" s="707"/>
      <c r="KLW36" s="707"/>
      <c r="KLX36" s="707"/>
      <c r="KLY36" s="707"/>
      <c r="KLZ36" s="707"/>
      <c r="KMA36" s="707"/>
      <c r="KMB36" s="707"/>
      <c r="KMC36" s="707"/>
      <c r="KMD36" s="707"/>
      <c r="KME36" s="707"/>
      <c r="KMF36" s="707"/>
      <c r="KMG36" s="707"/>
      <c r="KMH36" s="707"/>
      <c r="KMI36" s="707"/>
      <c r="KMJ36" s="707"/>
      <c r="KMK36" s="707"/>
      <c r="KML36" s="707"/>
      <c r="KMM36" s="707"/>
      <c r="KMN36" s="707"/>
      <c r="KMO36" s="707"/>
      <c r="KMP36" s="707"/>
      <c r="KMQ36" s="707"/>
      <c r="KMR36" s="707"/>
      <c r="KMS36" s="707"/>
      <c r="KMT36" s="707"/>
      <c r="KMU36" s="707"/>
      <c r="KMV36" s="707"/>
      <c r="KMW36" s="707"/>
      <c r="KMX36" s="707"/>
      <c r="KMY36" s="707"/>
      <c r="KMZ36" s="707"/>
      <c r="KNA36" s="707"/>
      <c r="KNB36" s="707"/>
      <c r="KNC36" s="707"/>
      <c r="KND36" s="707"/>
      <c r="KNE36" s="707"/>
      <c r="KNF36" s="707"/>
      <c r="KNG36" s="707"/>
      <c r="KNH36" s="707"/>
      <c r="KNI36" s="707"/>
      <c r="KNJ36" s="707"/>
      <c r="KNK36" s="707"/>
      <c r="KNL36" s="707"/>
      <c r="KNM36" s="707"/>
      <c r="KNN36" s="707"/>
      <c r="KNO36" s="707"/>
      <c r="KNP36" s="707"/>
      <c r="KNQ36" s="707"/>
      <c r="KNR36" s="707"/>
      <c r="KNS36" s="707"/>
      <c r="KNT36" s="707"/>
      <c r="KNU36" s="707"/>
      <c r="KNV36" s="707"/>
      <c r="KNW36" s="707"/>
      <c r="KNX36" s="707"/>
      <c r="KNY36" s="707"/>
      <c r="KNZ36" s="707"/>
      <c r="KOA36" s="707"/>
      <c r="KOB36" s="707"/>
      <c r="KOC36" s="707"/>
      <c r="KOD36" s="707"/>
      <c r="KOE36" s="707"/>
      <c r="KOF36" s="707"/>
      <c r="KOG36" s="707"/>
      <c r="KOH36" s="707"/>
      <c r="KOI36" s="707"/>
      <c r="KOJ36" s="707"/>
      <c r="KOK36" s="707"/>
      <c r="KOL36" s="707"/>
      <c r="KOM36" s="707"/>
      <c r="KON36" s="707"/>
      <c r="KOO36" s="707"/>
      <c r="KOP36" s="707"/>
      <c r="KOQ36" s="707"/>
      <c r="KOR36" s="707"/>
      <c r="KOS36" s="707"/>
      <c r="KOT36" s="707"/>
      <c r="KOU36" s="707"/>
      <c r="KOV36" s="707"/>
      <c r="KOW36" s="707"/>
      <c r="KOX36" s="707"/>
      <c r="KOY36" s="707"/>
      <c r="KOZ36" s="707"/>
      <c r="KPA36" s="707"/>
      <c r="KPB36" s="707"/>
      <c r="KPC36" s="707"/>
      <c r="KPD36" s="707"/>
      <c r="KPE36" s="707"/>
      <c r="KPF36" s="707"/>
      <c r="KPG36" s="707"/>
      <c r="KPH36" s="707"/>
      <c r="KPI36" s="707"/>
      <c r="KPJ36" s="707"/>
      <c r="KPK36" s="707"/>
      <c r="KPL36" s="707"/>
      <c r="KPM36" s="707"/>
      <c r="KPN36" s="707"/>
      <c r="KPO36" s="707"/>
      <c r="KPP36" s="707"/>
      <c r="KPQ36" s="707"/>
      <c r="KPR36" s="707"/>
      <c r="KPS36" s="707"/>
      <c r="KPT36" s="707"/>
      <c r="KPU36" s="707"/>
      <c r="KPV36" s="707"/>
      <c r="KPW36" s="707"/>
      <c r="KPX36" s="707"/>
      <c r="KPY36" s="707"/>
      <c r="KPZ36" s="707"/>
      <c r="KQA36" s="707"/>
      <c r="KQB36" s="707"/>
      <c r="KQC36" s="707"/>
      <c r="KQD36" s="707"/>
      <c r="KQE36" s="707"/>
      <c r="KQF36" s="707"/>
      <c r="KQG36" s="707"/>
      <c r="KQH36" s="707"/>
      <c r="KQI36" s="707"/>
      <c r="KQJ36" s="707"/>
      <c r="KQK36" s="707"/>
      <c r="KQL36" s="707"/>
      <c r="KQM36" s="707"/>
      <c r="KQN36" s="707"/>
      <c r="KQO36" s="707"/>
      <c r="KQP36" s="707"/>
      <c r="KQQ36" s="707"/>
      <c r="KQR36" s="707"/>
      <c r="KQS36" s="707"/>
      <c r="KQT36" s="707"/>
      <c r="KQU36" s="707"/>
      <c r="KQV36" s="707"/>
      <c r="KQW36" s="707"/>
      <c r="KQX36" s="707"/>
      <c r="KQY36" s="707"/>
      <c r="KQZ36" s="707"/>
      <c r="KRA36" s="707"/>
      <c r="KRB36" s="707"/>
      <c r="KRC36" s="707"/>
      <c r="KRD36" s="707"/>
      <c r="KRE36" s="707"/>
      <c r="KRF36" s="707"/>
      <c r="KRG36" s="707"/>
      <c r="KRH36" s="707"/>
      <c r="KRI36" s="707"/>
      <c r="KRJ36" s="707"/>
      <c r="KRK36" s="707"/>
      <c r="KRL36" s="707"/>
      <c r="KRM36" s="707"/>
      <c r="KRN36" s="707"/>
      <c r="KRO36" s="707"/>
      <c r="KRP36" s="707"/>
      <c r="KRQ36" s="707"/>
      <c r="KRR36" s="707"/>
      <c r="KRS36" s="707"/>
      <c r="KRT36" s="707"/>
      <c r="KRU36" s="707"/>
      <c r="KRV36" s="707"/>
      <c r="KRW36" s="707"/>
      <c r="KRX36" s="707"/>
      <c r="KRY36" s="707"/>
      <c r="KRZ36" s="707"/>
      <c r="KSA36" s="707"/>
      <c r="KSB36" s="707"/>
      <c r="KSC36" s="707"/>
      <c r="KSD36" s="707"/>
      <c r="KSE36" s="707"/>
      <c r="KSF36" s="707"/>
      <c r="KSG36" s="707"/>
      <c r="KSH36" s="707"/>
      <c r="KSI36" s="707"/>
      <c r="KSJ36" s="707"/>
      <c r="KSK36" s="707"/>
      <c r="KSL36" s="707"/>
      <c r="KSM36" s="707"/>
      <c r="KSN36" s="707"/>
      <c r="KSO36" s="707"/>
      <c r="KSP36" s="707"/>
      <c r="KSQ36" s="707"/>
      <c r="KSR36" s="707"/>
      <c r="KSS36" s="707"/>
      <c r="KST36" s="707"/>
      <c r="KSU36" s="707"/>
      <c r="KSV36" s="707"/>
      <c r="KSW36" s="707"/>
      <c r="KSX36" s="707"/>
      <c r="KSY36" s="707"/>
      <c r="KSZ36" s="707"/>
      <c r="KTA36" s="707"/>
      <c r="KTB36" s="707"/>
      <c r="KTC36" s="707"/>
      <c r="KTD36" s="707"/>
      <c r="KTE36" s="707"/>
      <c r="KTF36" s="707"/>
      <c r="KTG36" s="707"/>
      <c r="KTH36" s="707"/>
      <c r="KTI36" s="707"/>
      <c r="KTJ36" s="707"/>
      <c r="KTK36" s="707"/>
      <c r="KTL36" s="707"/>
      <c r="KTM36" s="707"/>
      <c r="KTN36" s="707"/>
      <c r="KTO36" s="707"/>
      <c r="KTP36" s="707"/>
      <c r="KTQ36" s="707"/>
      <c r="KTR36" s="707"/>
      <c r="KTS36" s="707"/>
      <c r="KTT36" s="707"/>
      <c r="KTU36" s="707"/>
      <c r="KTV36" s="707"/>
      <c r="KTW36" s="707"/>
      <c r="KTX36" s="707"/>
      <c r="KTY36" s="707"/>
      <c r="KTZ36" s="707"/>
      <c r="KUA36" s="707"/>
      <c r="KUB36" s="707"/>
      <c r="KUC36" s="707"/>
      <c r="KUD36" s="707"/>
      <c r="KUE36" s="707"/>
      <c r="KUF36" s="707"/>
      <c r="KUG36" s="707"/>
      <c r="KUH36" s="707"/>
      <c r="KUI36" s="707"/>
      <c r="KUJ36" s="707"/>
      <c r="KUK36" s="707"/>
      <c r="KUL36" s="707"/>
      <c r="KUM36" s="707"/>
      <c r="KUN36" s="707"/>
      <c r="KUO36" s="707"/>
      <c r="KUP36" s="707"/>
      <c r="KUQ36" s="707"/>
      <c r="KUR36" s="707"/>
      <c r="KUS36" s="707"/>
      <c r="KUT36" s="707"/>
      <c r="KUU36" s="707"/>
      <c r="KUV36" s="707"/>
      <c r="KUW36" s="707"/>
      <c r="KUX36" s="707"/>
      <c r="KUY36" s="707"/>
      <c r="KUZ36" s="707"/>
      <c r="KVA36" s="707"/>
      <c r="KVB36" s="707"/>
      <c r="KVC36" s="707"/>
      <c r="KVD36" s="707"/>
      <c r="KVE36" s="707"/>
      <c r="KVF36" s="707"/>
      <c r="KVG36" s="707"/>
      <c r="KVH36" s="707"/>
      <c r="KVI36" s="707"/>
      <c r="KVJ36" s="707"/>
      <c r="KVK36" s="707"/>
      <c r="KVL36" s="707"/>
      <c r="KVM36" s="707"/>
      <c r="KVN36" s="707"/>
      <c r="KVO36" s="707"/>
      <c r="KVP36" s="707"/>
      <c r="KVQ36" s="707"/>
      <c r="KVR36" s="707"/>
      <c r="KVS36" s="707"/>
      <c r="KVT36" s="707"/>
      <c r="KVU36" s="707"/>
      <c r="KVV36" s="707"/>
      <c r="KVW36" s="707"/>
      <c r="KVX36" s="707"/>
      <c r="KVY36" s="707"/>
      <c r="KVZ36" s="707"/>
      <c r="KWA36" s="707"/>
      <c r="KWB36" s="707"/>
      <c r="KWC36" s="707"/>
      <c r="KWD36" s="707"/>
      <c r="KWE36" s="707"/>
      <c r="KWF36" s="707"/>
      <c r="KWG36" s="707"/>
      <c r="KWH36" s="707"/>
      <c r="KWI36" s="707"/>
      <c r="KWJ36" s="707"/>
      <c r="KWK36" s="707"/>
      <c r="KWL36" s="707"/>
      <c r="KWM36" s="707"/>
      <c r="KWN36" s="707"/>
      <c r="KWO36" s="707"/>
      <c r="KWP36" s="707"/>
      <c r="KWQ36" s="707"/>
      <c r="KWR36" s="707"/>
      <c r="KWS36" s="707"/>
      <c r="KWT36" s="707"/>
      <c r="KWU36" s="707"/>
      <c r="KWV36" s="707"/>
      <c r="KWW36" s="707"/>
      <c r="KWX36" s="707"/>
      <c r="KWY36" s="707"/>
      <c r="KWZ36" s="707"/>
      <c r="KXA36" s="707"/>
      <c r="KXB36" s="707"/>
      <c r="KXC36" s="707"/>
      <c r="KXD36" s="707"/>
      <c r="KXE36" s="707"/>
      <c r="KXF36" s="707"/>
      <c r="KXG36" s="707"/>
      <c r="KXH36" s="707"/>
      <c r="KXI36" s="707"/>
      <c r="KXJ36" s="707"/>
      <c r="KXK36" s="707"/>
      <c r="KXL36" s="707"/>
      <c r="KXM36" s="707"/>
      <c r="KXN36" s="707"/>
      <c r="KXO36" s="707"/>
      <c r="KXP36" s="707"/>
      <c r="KXQ36" s="707"/>
      <c r="KXR36" s="707"/>
      <c r="KXS36" s="707"/>
      <c r="KXT36" s="707"/>
      <c r="KXU36" s="707"/>
      <c r="KXV36" s="707"/>
      <c r="KXW36" s="707"/>
      <c r="KXX36" s="707"/>
      <c r="KXY36" s="707"/>
      <c r="KXZ36" s="707"/>
      <c r="KYA36" s="707"/>
      <c r="KYB36" s="707"/>
      <c r="KYC36" s="707"/>
      <c r="KYD36" s="707"/>
      <c r="KYE36" s="707"/>
      <c r="KYF36" s="707"/>
      <c r="KYG36" s="707"/>
      <c r="KYH36" s="707"/>
      <c r="KYI36" s="707"/>
      <c r="KYJ36" s="707"/>
      <c r="KYK36" s="707"/>
      <c r="KYL36" s="707"/>
      <c r="KYM36" s="707"/>
      <c r="KYN36" s="707"/>
      <c r="KYO36" s="707"/>
      <c r="KYP36" s="707"/>
      <c r="KYQ36" s="707"/>
      <c r="KYR36" s="707"/>
      <c r="KYS36" s="707"/>
      <c r="KYT36" s="707"/>
      <c r="KYU36" s="707"/>
      <c r="KYV36" s="707"/>
      <c r="KYW36" s="707"/>
      <c r="KYX36" s="707"/>
      <c r="KYY36" s="707"/>
      <c r="KYZ36" s="707"/>
      <c r="KZA36" s="707"/>
      <c r="KZB36" s="707"/>
      <c r="KZC36" s="707"/>
      <c r="KZD36" s="707"/>
      <c r="KZE36" s="707"/>
      <c r="KZF36" s="707"/>
      <c r="KZG36" s="707"/>
      <c r="KZH36" s="707"/>
      <c r="KZI36" s="707"/>
      <c r="KZJ36" s="707"/>
      <c r="KZK36" s="707"/>
      <c r="KZL36" s="707"/>
      <c r="KZM36" s="707"/>
      <c r="KZN36" s="707"/>
      <c r="KZO36" s="707"/>
      <c r="KZP36" s="707"/>
      <c r="KZQ36" s="707"/>
      <c r="KZR36" s="707"/>
      <c r="KZS36" s="707"/>
      <c r="KZT36" s="707"/>
      <c r="KZU36" s="707"/>
      <c r="KZV36" s="707"/>
      <c r="KZW36" s="707"/>
      <c r="KZX36" s="707"/>
      <c r="KZY36" s="707"/>
      <c r="KZZ36" s="707"/>
      <c r="LAA36" s="707"/>
      <c r="LAB36" s="707"/>
      <c r="LAC36" s="707"/>
      <c r="LAD36" s="707"/>
      <c r="LAE36" s="707"/>
      <c r="LAF36" s="707"/>
      <c r="LAG36" s="707"/>
      <c r="LAH36" s="707"/>
      <c r="LAI36" s="707"/>
      <c r="LAJ36" s="707"/>
      <c r="LAK36" s="707"/>
      <c r="LAL36" s="707"/>
      <c r="LAM36" s="707"/>
      <c r="LAN36" s="707"/>
      <c r="LAO36" s="707"/>
      <c r="LAP36" s="707"/>
      <c r="LAQ36" s="707"/>
      <c r="LAR36" s="707"/>
      <c r="LAS36" s="707"/>
      <c r="LAT36" s="707"/>
      <c r="LAU36" s="707"/>
      <c r="LAV36" s="707"/>
      <c r="LAW36" s="707"/>
      <c r="LAX36" s="707"/>
      <c r="LAY36" s="707"/>
      <c r="LAZ36" s="707"/>
      <c r="LBA36" s="707"/>
      <c r="LBB36" s="707"/>
      <c r="LBC36" s="707"/>
      <c r="LBD36" s="707"/>
      <c r="LBE36" s="707"/>
      <c r="LBF36" s="707"/>
      <c r="LBG36" s="707"/>
      <c r="LBH36" s="707"/>
      <c r="LBI36" s="707"/>
      <c r="LBJ36" s="707"/>
      <c r="LBK36" s="707"/>
      <c r="LBL36" s="707"/>
      <c r="LBM36" s="707"/>
      <c r="LBN36" s="707"/>
      <c r="LBO36" s="707"/>
      <c r="LBP36" s="707"/>
      <c r="LBQ36" s="707"/>
      <c r="LBR36" s="707"/>
      <c r="LBS36" s="707"/>
      <c r="LBT36" s="707"/>
      <c r="LBU36" s="707"/>
      <c r="LBV36" s="707"/>
      <c r="LBW36" s="707"/>
      <c r="LBX36" s="707"/>
      <c r="LBY36" s="707"/>
      <c r="LBZ36" s="707"/>
      <c r="LCA36" s="707"/>
      <c r="LCB36" s="707"/>
      <c r="LCC36" s="707"/>
      <c r="LCD36" s="707"/>
      <c r="LCE36" s="707"/>
      <c r="LCF36" s="707"/>
      <c r="LCG36" s="707"/>
      <c r="LCH36" s="707"/>
      <c r="LCI36" s="707"/>
      <c r="LCJ36" s="707"/>
      <c r="LCK36" s="707"/>
      <c r="LCL36" s="707"/>
      <c r="LCM36" s="707"/>
      <c r="LCN36" s="707"/>
      <c r="LCO36" s="707"/>
      <c r="LCP36" s="707"/>
      <c r="LCQ36" s="707"/>
      <c r="LCR36" s="707"/>
      <c r="LCS36" s="707"/>
      <c r="LCT36" s="707"/>
      <c r="LCU36" s="707"/>
      <c r="LCV36" s="707"/>
      <c r="LCW36" s="707"/>
      <c r="LCX36" s="707"/>
      <c r="LCY36" s="707"/>
      <c r="LCZ36" s="707"/>
      <c r="LDA36" s="707"/>
      <c r="LDB36" s="707"/>
      <c r="LDC36" s="707"/>
      <c r="LDD36" s="707"/>
      <c r="LDE36" s="707"/>
      <c r="LDF36" s="707"/>
      <c r="LDG36" s="707"/>
      <c r="LDH36" s="707"/>
      <c r="LDI36" s="707"/>
      <c r="LDJ36" s="707"/>
      <c r="LDK36" s="707"/>
      <c r="LDL36" s="707"/>
      <c r="LDM36" s="707"/>
      <c r="LDN36" s="707"/>
      <c r="LDO36" s="707"/>
      <c r="LDP36" s="707"/>
      <c r="LDQ36" s="707"/>
      <c r="LDR36" s="707"/>
      <c r="LDS36" s="707"/>
      <c r="LDT36" s="707"/>
      <c r="LDU36" s="707"/>
      <c r="LDV36" s="707"/>
      <c r="LDW36" s="707"/>
      <c r="LDX36" s="707"/>
      <c r="LDY36" s="707"/>
      <c r="LDZ36" s="707"/>
      <c r="LEA36" s="707"/>
      <c r="LEB36" s="707"/>
      <c r="LEC36" s="707"/>
      <c r="LED36" s="707"/>
      <c r="LEE36" s="707"/>
      <c r="LEF36" s="707"/>
      <c r="LEG36" s="707"/>
      <c r="LEH36" s="707"/>
      <c r="LEI36" s="707"/>
      <c r="LEJ36" s="707"/>
      <c r="LEK36" s="707"/>
      <c r="LEL36" s="707"/>
      <c r="LEM36" s="707"/>
      <c r="LEN36" s="707"/>
      <c r="LEO36" s="707"/>
      <c r="LEP36" s="707"/>
      <c r="LEQ36" s="707"/>
      <c r="LER36" s="707"/>
      <c r="LES36" s="707"/>
      <c r="LET36" s="707"/>
      <c r="LEU36" s="707"/>
      <c r="LEV36" s="707"/>
      <c r="LEW36" s="707"/>
      <c r="LEX36" s="707"/>
      <c r="LEY36" s="707"/>
      <c r="LEZ36" s="707"/>
      <c r="LFA36" s="707"/>
      <c r="LFB36" s="707"/>
      <c r="LFC36" s="707"/>
      <c r="LFD36" s="707"/>
      <c r="LFE36" s="707"/>
      <c r="LFF36" s="707"/>
      <c r="LFG36" s="707"/>
      <c r="LFH36" s="707"/>
      <c r="LFI36" s="707"/>
      <c r="LFJ36" s="707"/>
      <c r="LFK36" s="707"/>
      <c r="LFL36" s="707"/>
      <c r="LFM36" s="707"/>
      <c r="LFN36" s="707"/>
      <c r="LFO36" s="707"/>
      <c r="LFP36" s="707"/>
      <c r="LFQ36" s="707"/>
      <c r="LFR36" s="707"/>
      <c r="LFS36" s="707"/>
      <c r="LFT36" s="707"/>
      <c r="LFU36" s="707"/>
      <c r="LFV36" s="707"/>
      <c r="LFW36" s="707"/>
      <c r="LFX36" s="707"/>
      <c r="LFY36" s="707"/>
      <c r="LFZ36" s="707"/>
      <c r="LGA36" s="707"/>
      <c r="LGB36" s="707"/>
      <c r="LGC36" s="707"/>
      <c r="LGD36" s="707"/>
      <c r="LGE36" s="707"/>
      <c r="LGF36" s="707"/>
      <c r="LGG36" s="707"/>
      <c r="LGH36" s="707"/>
      <c r="LGI36" s="707"/>
      <c r="LGJ36" s="707"/>
      <c r="LGK36" s="707"/>
      <c r="LGL36" s="707"/>
      <c r="LGM36" s="707"/>
      <c r="LGN36" s="707"/>
      <c r="LGO36" s="707"/>
      <c r="LGP36" s="707"/>
      <c r="LGQ36" s="707"/>
      <c r="LGR36" s="707"/>
      <c r="LGS36" s="707"/>
      <c r="LGT36" s="707"/>
      <c r="LGU36" s="707"/>
      <c r="LGV36" s="707"/>
      <c r="LGW36" s="707"/>
      <c r="LGX36" s="707"/>
      <c r="LGY36" s="707"/>
      <c r="LGZ36" s="707"/>
      <c r="LHA36" s="707"/>
      <c r="LHB36" s="707"/>
      <c r="LHC36" s="707"/>
      <c r="LHD36" s="707"/>
      <c r="LHE36" s="707"/>
      <c r="LHF36" s="707"/>
      <c r="LHG36" s="707"/>
      <c r="LHH36" s="707"/>
      <c r="LHI36" s="707"/>
      <c r="LHJ36" s="707"/>
      <c r="LHK36" s="707"/>
      <c r="LHL36" s="707"/>
      <c r="LHM36" s="707"/>
      <c r="LHN36" s="707"/>
      <c r="LHO36" s="707"/>
      <c r="LHP36" s="707"/>
      <c r="LHQ36" s="707"/>
      <c r="LHR36" s="707"/>
      <c r="LHS36" s="707"/>
      <c r="LHT36" s="707"/>
      <c r="LHU36" s="707"/>
      <c r="LHV36" s="707"/>
      <c r="LHW36" s="707"/>
      <c r="LHX36" s="707"/>
      <c r="LHY36" s="707"/>
      <c r="LHZ36" s="707"/>
      <c r="LIA36" s="707"/>
      <c r="LIB36" s="707"/>
      <c r="LIC36" s="707"/>
      <c r="LID36" s="707"/>
      <c r="LIE36" s="707"/>
      <c r="LIF36" s="707"/>
      <c r="LIG36" s="707"/>
      <c r="LIH36" s="707"/>
      <c r="LII36" s="707"/>
      <c r="LIJ36" s="707"/>
      <c r="LIK36" s="707"/>
      <c r="LIL36" s="707"/>
      <c r="LIM36" s="707"/>
      <c r="LIN36" s="707"/>
      <c r="LIO36" s="707"/>
      <c r="LIP36" s="707"/>
      <c r="LIQ36" s="707"/>
      <c r="LIR36" s="707"/>
      <c r="LIS36" s="707"/>
      <c r="LIT36" s="707"/>
      <c r="LIU36" s="707"/>
      <c r="LIV36" s="707"/>
      <c r="LIW36" s="707"/>
      <c r="LIX36" s="707"/>
      <c r="LIY36" s="707"/>
      <c r="LIZ36" s="707"/>
      <c r="LJA36" s="707"/>
      <c r="LJB36" s="707"/>
      <c r="LJC36" s="707"/>
      <c r="LJD36" s="707"/>
      <c r="LJE36" s="707"/>
      <c r="LJF36" s="707"/>
      <c r="LJG36" s="707"/>
      <c r="LJH36" s="707"/>
      <c r="LJI36" s="707"/>
      <c r="LJJ36" s="707"/>
      <c r="LJK36" s="707"/>
      <c r="LJL36" s="707"/>
      <c r="LJM36" s="707"/>
      <c r="LJN36" s="707"/>
      <c r="LJO36" s="707"/>
      <c r="LJP36" s="707"/>
      <c r="LJQ36" s="707"/>
      <c r="LJR36" s="707"/>
      <c r="LJS36" s="707"/>
      <c r="LJT36" s="707"/>
      <c r="LJU36" s="707"/>
      <c r="LJV36" s="707"/>
      <c r="LJW36" s="707"/>
      <c r="LJX36" s="707"/>
      <c r="LJY36" s="707"/>
      <c r="LJZ36" s="707"/>
      <c r="LKA36" s="707"/>
      <c r="LKB36" s="707"/>
      <c r="LKC36" s="707"/>
      <c r="LKD36" s="707"/>
      <c r="LKE36" s="707"/>
      <c r="LKF36" s="707"/>
      <c r="LKG36" s="707"/>
      <c r="LKH36" s="707"/>
      <c r="LKI36" s="707"/>
      <c r="LKJ36" s="707"/>
      <c r="LKK36" s="707"/>
      <c r="LKL36" s="707"/>
      <c r="LKM36" s="707"/>
      <c r="LKN36" s="707"/>
      <c r="LKO36" s="707"/>
      <c r="LKP36" s="707"/>
      <c r="LKQ36" s="707"/>
      <c r="LKR36" s="707"/>
      <c r="LKS36" s="707"/>
      <c r="LKT36" s="707"/>
      <c r="LKU36" s="707"/>
      <c r="LKV36" s="707"/>
      <c r="LKW36" s="707"/>
      <c r="LKX36" s="707"/>
      <c r="LKY36" s="707"/>
      <c r="LKZ36" s="707"/>
      <c r="LLA36" s="707"/>
      <c r="LLB36" s="707"/>
      <c r="LLC36" s="707"/>
      <c r="LLD36" s="707"/>
      <c r="LLE36" s="707"/>
      <c r="LLF36" s="707"/>
      <c r="LLG36" s="707"/>
      <c r="LLH36" s="707"/>
      <c r="LLI36" s="707"/>
      <c r="LLJ36" s="707"/>
      <c r="LLK36" s="707"/>
      <c r="LLL36" s="707"/>
      <c r="LLM36" s="707"/>
      <c r="LLN36" s="707"/>
      <c r="LLO36" s="707"/>
      <c r="LLP36" s="707"/>
      <c r="LLQ36" s="707"/>
      <c r="LLR36" s="707"/>
      <c r="LLS36" s="707"/>
      <c r="LLT36" s="707"/>
      <c r="LLU36" s="707"/>
      <c r="LLV36" s="707"/>
      <c r="LLW36" s="707"/>
      <c r="LLX36" s="707"/>
      <c r="LLY36" s="707"/>
      <c r="LLZ36" s="707"/>
      <c r="LMA36" s="707"/>
      <c r="LMB36" s="707"/>
      <c r="LMC36" s="707"/>
      <c r="LMD36" s="707"/>
      <c r="LME36" s="707"/>
      <c r="LMF36" s="707"/>
      <c r="LMG36" s="707"/>
      <c r="LMH36" s="707"/>
      <c r="LMI36" s="707"/>
      <c r="LMJ36" s="707"/>
      <c r="LMK36" s="707"/>
      <c r="LML36" s="707"/>
      <c r="LMM36" s="707"/>
      <c r="LMN36" s="707"/>
      <c r="LMO36" s="707"/>
      <c r="LMP36" s="707"/>
      <c r="LMQ36" s="707"/>
      <c r="LMR36" s="707"/>
      <c r="LMS36" s="707"/>
      <c r="LMT36" s="707"/>
      <c r="LMU36" s="707"/>
      <c r="LMV36" s="707"/>
      <c r="LMW36" s="707"/>
      <c r="LMX36" s="707"/>
      <c r="LMY36" s="707"/>
      <c r="LMZ36" s="707"/>
      <c r="LNA36" s="707"/>
      <c r="LNB36" s="707"/>
      <c r="LNC36" s="707"/>
      <c r="LND36" s="707"/>
      <c r="LNE36" s="707"/>
      <c r="LNF36" s="707"/>
      <c r="LNG36" s="707"/>
      <c r="LNH36" s="707"/>
      <c r="LNI36" s="707"/>
      <c r="LNJ36" s="707"/>
      <c r="LNK36" s="707"/>
      <c r="LNL36" s="707"/>
      <c r="LNM36" s="707"/>
      <c r="LNN36" s="707"/>
      <c r="LNO36" s="707"/>
      <c r="LNP36" s="707"/>
      <c r="LNQ36" s="707"/>
      <c r="LNR36" s="707"/>
      <c r="LNS36" s="707"/>
      <c r="LNT36" s="707"/>
      <c r="LNU36" s="707"/>
      <c r="LNV36" s="707"/>
      <c r="LNW36" s="707"/>
      <c r="LNX36" s="707"/>
      <c r="LNY36" s="707"/>
      <c r="LNZ36" s="707"/>
      <c r="LOA36" s="707"/>
      <c r="LOB36" s="707"/>
      <c r="LOC36" s="707"/>
      <c r="LOD36" s="707"/>
      <c r="LOE36" s="707"/>
      <c r="LOF36" s="707"/>
      <c r="LOG36" s="707"/>
      <c r="LOH36" s="707"/>
      <c r="LOI36" s="707"/>
      <c r="LOJ36" s="707"/>
      <c r="LOK36" s="707"/>
      <c r="LOL36" s="707"/>
      <c r="LOM36" s="707"/>
      <c r="LON36" s="707"/>
      <c r="LOO36" s="707"/>
      <c r="LOP36" s="707"/>
      <c r="LOQ36" s="707"/>
      <c r="LOR36" s="707"/>
      <c r="LOS36" s="707"/>
      <c r="LOT36" s="707"/>
      <c r="LOU36" s="707"/>
      <c r="LOV36" s="707"/>
      <c r="LOW36" s="707"/>
      <c r="LOX36" s="707"/>
      <c r="LOY36" s="707"/>
      <c r="LOZ36" s="707"/>
      <c r="LPA36" s="707"/>
      <c r="LPB36" s="707"/>
      <c r="LPC36" s="707"/>
      <c r="LPD36" s="707"/>
      <c r="LPE36" s="707"/>
      <c r="LPF36" s="707"/>
      <c r="LPG36" s="707"/>
      <c r="LPH36" s="707"/>
      <c r="LPI36" s="707"/>
      <c r="LPJ36" s="707"/>
      <c r="LPK36" s="707"/>
      <c r="LPL36" s="707"/>
      <c r="LPM36" s="707"/>
      <c r="LPN36" s="707"/>
      <c r="LPO36" s="707"/>
      <c r="LPP36" s="707"/>
      <c r="LPQ36" s="707"/>
      <c r="LPR36" s="707"/>
      <c r="LPS36" s="707"/>
      <c r="LPT36" s="707"/>
      <c r="LPU36" s="707"/>
      <c r="LPV36" s="707"/>
      <c r="LPW36" s="707"/>
      <c r="LPX36" s="707"/>
      <c r="LPY36" s="707"/>
      <c r="LPZ36" s="707"/>
      <c r="LQA36" s="707"/>
      <c r="LQB36" s="707"/>
      <c r="LQC36" s="707"/>
      <c r="LQD36" s="707"/>
      <c r="LQE36" s="707"/>
      <c r="LQF36" s="707"/>
      <c r="LQG36" s="707"/>
      <c r="LQH36" s="707"/>
      <c r="LQI36" s="707"/>
      <c r="LQJ36" s="707"/>
      <c r="LQK36" s="707"/>
      <c r="LQL36" s="707"/>
      <c r="LQM36" s="707"/>
      <c r="LQN36" s="707"/>
      <c r="LQO36" s="707"/>
      <c r="LQP36" s="707"/>
      <c r="LQQ36" s="707"/>
      <c r="LQR36" s="707"/>
      <c r="LQS36" s="707"/>
      <c r="LQT36" s="707"/>
      <c r="LQU36" s="707"/>
      <c r="LQV36" s="707"/>
      <c r="LQW36" s="707"/>
      <c r="LQX36" s="707"/>
      <c r="LQY36" s="707"/>
      <c r="LQZ36" s="707"/>
      <c r="LRA36" s="707"/>
      <c r="LRB36" s="707"/>
      <c r="LRC36" s="707"/>
      <c r="LRD36" s="707"/>
      <c r="LRE36" s="707"/>
      <c r="LRF36" s="707"/>
      <c r="LRG36" s="707"/>
      <c r="LRH36" s="707"/>
      <c r="LRI36" s="707"/>
      <c r="LRJ36" s="707"/>
      <c r="LRK36" s="707"/>
      <c r="LRL36" s="707"/>
      <c r="LRM36" s="707"/>
      <c r="LRN36" s="707"/>
      <c r="LRO36" s="707"/>
      <c r="LRP36" s="707"/>
      <c r="LRQ36" s="707"/>
      <c r="LRR36" s="707"/>
      <c r="LRS36" s="707"/>
      <c r="LRT36" s="707"/>
      <c r="LRU36" s="707"/>
      <c r="LRV36" s="707"/>
      <c r="LRW36" s="707"/>
      <c r="LRX36" s="707"/>
      <c r="LRY36" s="707"/>
      <c r="LRZ36" s="707"/>
      <c r="LSA36" s="707"/>
      <c r="LSB36" s="707"/>
      <c r="LSC36" s="707"/>
      <c r="LSD36" s="707"/>
      <c r="LSE36" s="707"/>
      <c r="LSF36" s="707"/>
      <c r="LSG36" s="707"/>
      <c r="LSH36" s="707"/>
      <c r="LSI36" s="707"/>
      <c r="LSJ36" s="707"/>
      <c r="LSK36" s="707"/>
      <c r="LSL36" s="707"/>
      <c r="LSM36" s="707"/>
      <c r="LSN36" s="707"/>
      <c r="LSO36" s="707"/>
      <c r="LSP36" s="707"/>
      <c r="LSQ36" s="707"/>
      <c r="LSR36" s="707"/>
      <c r="LSS36" s="707"/>
      <c r="LST36" s="707"/>
      <c r="LSU36" s="707"/>
      <c r="LSV36" s="707"/>
      <c r="LSW36" s="707"/>
      <c r="LSX36" s="707"/>
      <c r="LSY36" s="707"/>
      <c r="LSZ36" s="707"/>
      <c r="LTA36" s="707"/>
      <c r="LTB36" s="707"/>
      <c r="LTC36" s="707"/>
      <c r="LTD36" s="707"/>
      <c r="LTE36" s="707"/>
      <c r="LTF36" s="707"/>
      <c r="LTG36" s="707"/>
      <c r="LTH36" s="707"/>
      <c r="LTI36" s="707"/>
      <c r="LTJ36" s="707"/>
      <c r="LTK36" s="707"/>
      <c r="LTL36" s="707"/>
      <c r="LTM36" s="707"/>
      <c r="LTN36" s="707"/>
      <c r="LTO36" s="707"/>
      <c r="LTP36" s="707"/>
      <c r="LTQ36" s="707"/>
      <c r="LTR36" s="707"/>
      <c r="LTS36" s="707"/>
      <c r="LTT36" s="707"/>
      <c r="LTU36" s="707"/>
      <c r="LTV36" s="707"/>
      <c r="LTW36" s="707"/>
      <c r="LTX36" s="707"/>
      <c r="LTY36" s="707"/>
      <c r="LTZ36" s="707"/>
      <c r="LUA36" s="707"/>
      <c r="LUB36" s="707"/>
      <c r="LUC36" s="707"/>
      <c r="LUD36" s="707"/>
      <c r="LUE36" s="707"/>
      <c r="LUF36" s="707"/>
      <c r="LUG36" s="707"/>
      <c r="LUH36" s="707"/>
      <c r="LUI36" s="707"/>
      <c r="LUJ36" s="707"/>
      <c r="LUK36" s="707"/>
      <c r="LUL36" s="707"/>
      <c r="LUM36" s="707"/>
      <c r="LUN36" s="707"/>
      <c r="LUO36" s="707"/>
      <c r="LUP36" s="707"/>
      <c r="LUQ36" s="707"/>
      <c r="LUR36" s="707"/>
      <c r="LUS36" s="707"/>
      <c r="LUT36" s="707"/>
      <c r="LUU36" s="707"/>
      <c r="LUV36" s="707"/>
      <c r="LUW36" s="707"/>
      <c r="LUX36" s="707"/>
      <c r="LUY36" s="707"/>
      <c r="LUZ36" s="707"/>
      <c r="LVA36" s="707"/>
      <c r="LVB36" s="707"/>
      <c r="LVC36" s="707"/>
      <c r="LVD36" s="707"/>
      <c r="LVE36" s="707"/>
      <c r="LVF36" s="707"/>
      <c r="LVG36" s="707"/>
      <c r="LVH36" s="707"/>
      <c r="LVI36" s="707"/>
      <c r="LVJ36" s="707"/>
      <c r="LVK36" s="707"/>
      <c r="LVL36" s="707"/>
      <c r="LVM36" s="707"/>
      <c r="LVN36" s="707"/>
      <c r="LVO36" s="707"/>
      <c r="LVP36" s="707"/>
      <c r="LVQ36" s="707"/>
      <c r="LVR36" s="707"/>
      <c r="LVS36" s="707"/>
      <c r="LVT36" s="707"/>
      <c r="LVU36" s="707"/>
      <c r="LVV36" s="707"/>
      <c r="LVW36" s="707"/>
      <c r="LVX36" s="707"/>
      <c r="LVY36" s="707"/>
      <c r="LVZ36" s="707"/>
      <c r="LWA36" s="707"/>
      <c r="LWB36" s="707"/>
      <c r="LWC36" s="707"/>
      <c r="LWD36" s="707"/>
      <c r="LWE36" s="707"/>
      <c r="LWF36" s="707"/>
      <c r="LWG36" s="707"/>
      <c r="LWH36" s="707"/>
      <c r="LWI36" s="707"/>
      <c r="LWJ36" s="707"/>
      <c r="LWK36" s="707"/>
      <c r="LWL36" s="707"/>
      <c r="LWM36" s="707"/>
      <c r="LWN36" s="707"/>
      <c r="LWO36" s="707"/>
      <c r="LWP36" s="707"/>
      <c r="LWQ36" s="707"/>
      <c r="LWR36" s="707"/>
      <c r="LWS36" s="707"/>
      <c r="LWT36" s="707"/>
      <c r="LWU36" s="707"/>
      <c r="LWV36" s="707"/>
      <c r="LWW36" s="707"/>
      <c r="LWX36" s="707"/>
      <c r="LWY36" s="707"/>
      <c r="LWZ36" s="707"/>
      <c r="LXA36" s="707"/>
      <c r="LXB36" s="707"/>
      <c r="LXC36" s="707"/>
      <c r="LXD36" s="707"/>
      <c r="LXE36" s="707"/>
      <c r="LXF36" s="707"/>
      <c r="LXG36" s="707"/>
      <c r="LXH36" s="707"/>
      <c r="LXI36" s="707"/>
      <c r="LXJ36" s="707"/>
      <c r="LXK36" s="707"/>
      <c r="LXL36" s="707"/>
      <c r="LXM36" s="707"/>
      <c r="LXN36" s="707"/>
      <c r="LXO36" s="707"/>
      <c r="LXP36" s="707"/>
      <c r="LXQ36" s="707"/>
      <c r="LXR36" s="707"/>
      <c r="LXS36" s="707"/>
      <c r="LXT36" s="707"/>
      <c r="LXU36" s="707"/>
      <c r="LXV36" s="707"/>
      <c r="LXW36" s="707"/>
      <c r="LXX36" s="707"/>
      <c r="LXY36" s="707"/>
      <c r="LXZ36" s="707"/>
      <c r="LYA36" s="707"/>
      <c r="LYB36" s="707"/>
      <c r="LYC36" s="707"/>
      <c r="LYD36" s="707"/>
      <c r="LYE36" s="707"/>
      <c r="LYF36" s="707"/>
      <c r="LYG36" s="707"/>
      <c r="LYH36" s="707"/>
      <c r="LYI36" s="707"/>
      <c r="LYJ36" s="707"/>
      <c r="LYK36" s="707"/>
      <c r="LYL36" s="707"/>
      <c r="LYM36" s="707"/>
      <c r="LYN36" s="707"/>
      <c r="LYO36" s="707"/>
      <c r="LYP36" s="707"/>
      <c r="LYQ36" s="707"/>
      <c r="LYR36" s="707"/>
      <c r="LYS36" s="707"/>
      <c r="LYT36" s="707"/>
      <c r="LYU36" s="707"/>
      <c r="LYV36" s="707"/>
      <c r="LYW36" s="707"/>
      <c r="LYX36" s="707"/>
      <c r="LYY36" s="707"/>
      <c r="LYZ36" s="707"/>
      <c r="LZA36" s="707"/>
      <c r="LZB36" s="707"/>
      <c r="LZC36" s="707"/>
      <c r="LZD36" s="707"/>
      <c r="LZE36" s="707"/>
      <c r="LZF36" s="707"/>
      <c r="LZG36" s="707"/>
      <c r="LZH36" s="707"/>
      <c r="LZI36" s="707"/>
      <c r="LZJ36" s="707"/>
      <c r="LZK36" s="707"/>
      <c r="LZL36" s="707"/>
      <c r="LZM36" s="707"/>
      <c r="LZN36" s="707"/>
      <c r="LZO36" s="707"/>
      <c r="LZP36" s="707"/>
      <c r="LZQ36" s="707"/>
      <c r="LZR36" s="707"/>
      <c r="LZS36" s="707"/>
      <c r="LZT36" s="707"/>
      <c r="LZU36" s="707"/>
      <c r="LZV36" s="707"/>
      <c r="LZW36" s="707"/>
      <c r="LZX36" s="707"/>
      <c r="LZY36" s="707"/>
      <c r="LZZ36" s="707"/>
      <c r="MAA36" s="707"/>
      <c r="MAB36" s="707"/>
      <c r="MAC36" s="707"/>
      <c r="MAD36" s="707"/>
      <c r="MAE36" s="707"/>
      <c r="MAF36" s="707"/>
      <c r="MAG36" s="707"/>
      <c r="MAH36" s="707"/>
      <c r="MAI36" s="707"/>
      <c r="MAJ36" s="707"/>
      <c r="MAK36" s="707"/>
      <c r="MAL36" s="707"/>
      <c r="MAM36" s="707"/>
      <c r="MAN36" s="707"/>
      <c r="MAO36" s="707"/>
      <c r="MAP36" s="707"/>
      <c r="MAQ36" s="707"/>
      <c r="MAR36" s="707"/>
      <c r="MAS36" s="707"/>
      <c r="MAT36" s="707"/>
      <c r="MAU36" s="707"/>
      <c r="MAV36" s="707"/>
      <c r="MAW36" s="707"/>
      <c r="MAX36" s="707"/>
      <c r="MAY36" s="707"/>
      <c r="MAZ36" s="707"/>
      <c r="MBA36" s="707"/>
      <c r="MBB36" s="707"/>
      <c r="MBC36" s="707"/>
      <c r="MBD36" s="707"/>
      <c r="MBE36" s="707"/>
      <c r="MBF36" s="707"/>
      <c r="MBG36" s="707"/>
      <c r="MBH36" s="707"/>
      <c r="MBI36" s="707"/>
      <c r="MBJ36" s="707"/>
      <c r="MBK36" s="707"/>
      <c r="MBL36" s="707"/>
      <c r="MBM36" s="707"/>
      <c r="MBN36" s="707"/>
      <c r="MBO36" s="707"/>
      <c r="MBP36" s="707"/>
      <c r="MBQ36" s="707"/>
      <c r="MBR36" s="707"/>
      <c r="MBS36" s="707"/>
      <c r="MBT36" s="707"/>
      <c r="MBU36" s="707"/>
      <c r="MBV36" s="707"/>
      <c r="MBW36" s="707"/>
      <c r="MBX36" s="707"/>
      <c r="MBY36" s="707"/>
      <c r="MBZ36" s="707"/>
      <c r="MCA36" s="707"/>
      <c r="MCB36" s="707"/>
      <c r="MCC36" s="707"/>
      <c r="MCD36" s="707"/>
      <c r="MCE36" s="707"/>
      <c r="MCF36" s="707"/>
      <c r="MCG36" s="707"/>
      <c r="MCH36" s="707"/>
      <c r="MCI36" s="707"/>
      <c r="MCJ36" s="707"/>
      <c r="MCK36" s="707"/>
      <c r="MCL36" s="707"/>
      <c r="MCM36" s="707"/>
      <c r="MCN36" s="707"/>
      <c r="MCO36" s="707"/>
      <c r="MCP36" s="707"/>
      <c r="MCQ36" s="707"/>
      <c r="MCR36" s="707"/>
      <c r="MCS36" s="707"/>
      <c r="MCT36" s="707"/>
      <c r="MCU36" s="707"/>
      <c r="MCV36" s="707"/>
      <c r="MCW36" s="707"/>
      <c r="MCX36" s="707"/>
      <c r="MCY36" s="707"/>
      <c r="MCZ36" s="707"/>
      <c r="MDA36" s="707"/>
      <c r="MDB36" s="707"/>
      <c r="MDC36" s="707"/>
      <c r="MDD36" s="707"/>
      <c r="MDE36" s="707"/>
      <c r="MDF36" s="707"/>
      <c r="MDG36" s="707"/>
      <c r="MDH36" s="707"/>
      <c r="MDI36" s="707"/>
      <c r="MDJ36" s="707"/>
      <c r="MDK36" s="707"/>
      <c r="MDL36" s="707"/>
      <c r="MDM36" s="707"/>
      <c r="MDN36" s="707"/>
      <c r="MDO36" s="707"/>
      <c r="MDP36" s="707"/>
      <c r="MDQ36" s="707"/>
      <c r="MDR36" s="707"/>
      <c r="MDS36" s="707"/>
      <c r="MDT36" s="707"/>
      <c r="MDU36" s="707"/>
      <c r="MDV36" s="707"/>
      <c r="MDW36" s="707"/>
      <c r="MDX36" s="707"/>
      <c r="MDY36" s="707"/>
      <c r="MDZ36" s="707"/>
      <c r="MEA36" s="707"/>
      <c r="MEB36" s="707"/>
      <c r="MEC36" s="707"/>
      <c r="MED36" s="707"/>
      <c r="MEE36" s="707"/>
      <c r="MEF36" s="707"/>
      <c r="MEG36" s="707"/>
      <c r="MEH36" s="707"/>
      <c r="MEI36" s="707"/>
      <c r="MEJ36" s="707"/>
      <c r="MEK36" s="707"/>
      <c r="MEL36" s="707"/>
      <c r="MEM36" s="707"/>
      <c r="MEN36" s="707"/>
      <c r="MEO36" s="707"/>
      <c r="MEP36" s="707"/>
      <c r="MEQ36" s="707"/>
      <c r="MER36" s="707"/>
      <c r="MES36" s="707"/>
      <c r="MET36" s="707"/>
      <c r="MEU36" s="707"/>
      <c r="MEV36" s="707"/>
      <c r="MEW36" s="707"/>
      <c r="MEX36" s="707"/>
      <c r="MEY36" s="707"/>
      <c r="MEZ36" s="707"/>
      <c r="MFA36" s="707"/>
      <c r="MFB36" s="707"/>
      <c r="MFC36" s="707"/>
      <c r="MFD36" s="707"/>
      <c r="MFE36" s="707"/>
      <c r="MFF36" s="707"/>
      <c r="MFG36" s="707"/>
      <c r="MFH36" s="707"/>
      <c r="MFI36" s="707"/>
      <c r="MFJ36" s="707"/>
      <c r="MFK36" s="707"/>
      <c r="MFL36" s="707"/>
      <c r="MFM36" s="707"/>
      <c r="MFN36" s="707"/>
      <c r="MFO36" s="707"/>
      <c r="MFP36" s="707"/>
      <c r="MFQ36" s="707"/>
      <c r="MFR36" s="707"/>
      <c r="MFS36" s="707"/>
      <c r="MFT36" s="707"/>
      <c r="MFU36" s="707"/>
      <c r="MFV36" s="707"/>
      <c r="MFW36" s="707"/>
      <c r="MFX36" s="707"/>
      <c r="MFY36" s="707"/>
      <c r="MFZ36" s="707"/>
      <c r="MGA36" s="707"/>
      <c r="MGB36" s="707"/>
      <c r="MGC36" s="707"/>
      <c r="MGD36" s="707"/>
      <c r="MGE36" s="707"/>
      <c r="MGF36" s="707"/>
      <c r="MGG36" s="707"/>
      <c r="MGH36" s="707"/>
      <c r="MGI36" s="707"/>
      <c r="MGJ36" s="707"/>
      <c r="MGK36" s="707"/>
      <c r="MGL36" s="707"/>
      <c r="MGM36" s="707"/>
      <c r="MGN36" s="707"/>
      <c r="MGO36" s="707"/>
      <c r="MGP36" s="707"/>
      <c r="MGQ36" s="707"/>
      <c r="MGR36" s="707"/>
      <c r="MGS36" s="707"/>
      <c r="MGT36" s="707"/>
      <c r="MGU36" s="707"/>
      <c r="MGV36" s="707"/>
      <c r="MGW36" s="707"/>
      <c r="MGX36" s="707"/>
      <c r="MGY36" s="707"/>
      <c r="MGZ36" s="707"/>
      <c r="MHA36" s="707"/>
      <c r="MHB36" s="707"/>
      <c r="MHC36" s="707"/>
      <c r="MHD36" s="707"/>
      <c r="MHE36" s="707"/>
      <c r="MHF36" s="707"/>
      <c r="MHG36" s="707"/>
      <c r="MHH36" s="707"/>
      <c r="MHI36" s="707"/>
      <c r="MHJ36" s="707"/>
      <c r="MHK36" s="707"/>
      <c r="MHL36" s="707"/>
      <c r="MHM36" s="707"/>
      <c r="MHN36" s="707"/>
      <c r="MHO36" s="707"/>
      <c r="MHP36" s="707"/>
      <c r="MHQ36" s="707"/>
      <c r="MHR36" s="707"/>
      <c r="MHS36" s="707"/>
      <c r="MHT36" s="707"/>
      <c r="MHU36" s="707"/>
      <c r="MHV36" s="707"/>
      <c r="MHW36" s="707"/>
      <c r="MHX36" s="707"/>
      <c r="MHY36" s="707"/>
      <c r="MHZ36" s="707"/>
      <c r="MIA36" s="707"/>
      <c r="MIB36" s="707"/>
      <c r="MIC36" s="707"/>
      <c r="MID36" s="707"/>
      <c r="MIE36" s="707"/>
      <c r="MIF36" s="707"/>
      <c r="MIG36" s="707"/>
      <c r="MIH36" s="707"/>
      <c r="MII36" s="707"/>
      <c r="MIJ36" s="707"/>
      <c r="MIK36" s="707"/>
      <c r="MIL36" s="707"/>
      <c r="MIM36" s="707"/>
      <c r="MIN36" s="707"/>
      <c r="MIO36" s="707"/>
      <c r="MIP36" s="707"/>
      <c r="MIQ36" s="707"/>
      <c r="MIR36" s="707"/>
      <c r="MIS36" s="707"/>
      <c r="MIT36" s="707"/>
      <c r="MIU36" s="707"/>
      <c r="MIV36" s="707"/>
      <c r="MIW36" s="707"/>
      <c r="MIX36" s="707"/>
      <c r="MIY36" s="707"/>
      <c r="MIZ36" s="707"/>
      <c r="MJA36" s="707"/>
      <c r="MJB36" s="707"/>
      <c r="MJC36" s="707"/>
      <c r="MJD36" s="707"/>
      <c r="MJE36" s="707"/>
      <c r="MJF36" s="707"/>
      <c r="MJG36" s="707"/>
      <c r="MJH36" s="707"/>
      <c r="MJI36" s="707"/>
      <c r="MJJ36" s="707"/>
      <c r="MJK36" s="707"/>
      <c r="MJL36" s="707"/>
      <c r="MJM36" s="707"/>
      <c r="MJN36" s="707"/>
      <c r="MJO36" s="707"/>
      <c r="MJP36" s="707"/>
      <c r="MJQ36" s="707"/>
      <c r="MJR36" s="707"/>
      <c r="MJS36" s="707"/>
      <c r="MJT36" s="707"/>
      <c r="MJU36" s="707"/>
      <c r="MJV36" s="707"/>
      <c r="MJW36" s="707"/>
      <c r="MJX36" s="707"/>
      <c r="MJY36" s="707"/>
      <c r="MJZ36" s="707"/>
      <c r="MKA36" s="707"/>
      <c r="MKB36" s="707"/>
      <c r="MKC36" s="707"/>
      <c r="MKD36" s="707"/>
      <c r="MKE36" s="707"/>
      <c r="MKF36" s="707"/>
      <c r="MKG36" s="707"/>
      <c r="MKH36" s="707"/>
      <c r="MKI36" s="707"/>
      <c r="MKJ36" s="707"/>
      <c r="MKK36" s="707"/>
      <c r="MKL36" s="707"/>
      <c r="MKM36" s="707"/>
      <c r="MKN36" s="707"/>
      <c r="MKO36" s="707"/>
      <c r="MKP36" s="707"/>
      <c r="MKQ36" s="707"/>
      <c r="MKR36" s="707"/>
      <c r="MKS36" s="707"/>
      <c r="MKT36" s="707"/>
      <c r="MKU36" s="707"/>
      <c r="MKV36" s="707"/>
      <c r="MKW36" s="707"/>
      <c r="MKX36" s="707"/>
      <c r="MKY36" s="707"/>
      <c r="MKZ36" s="707"/>
      <c r="MLA36" s="707"/>
      <c r="MLB36" s="707"/>
      <c r="MLC36" s="707"/>
      <c r="MLD36" s="707"/>
      <c r="MLE36" s="707"/>
      <c r="MLF36" s="707"/>
      <c r="MLG36" s="707"/>
      <c r="MLH36" s="707"/>
      <c r="MLI36" s="707"/>
      <c r="MLJ36" s="707"/>
      <c r="MLK36" s="707"/>
      <c r="MLL36" s="707"/>
      <c r="MLM36" s="707"/>
      <c r="MLN36" s="707"/>
      <c r="MLO36" s="707"/>
      <c r="MLP36" s="707"/>
      <c r="MLQ36" s="707"/>
      <c r="MLR36" s="707"/>
      <c r="MLS36" s="707"/>
      <c r="MLT36" s="707"/>
      <c r="MLU36" s="707"/>
      <c r="MLV36" s="707"/>
      <c r="MLW36" s="707"/>
      <c r="MLX36" s="707"/>
      <c r="MLY36" s="707"/>
      <c r="MLZ36" s="707"/>
      <c r="MMA36" s="707"/>
      <c r="MMB36" s="707"/>
      <c r="MMC36" s="707"/>
      <c r="MMD36" s="707"/>
      <c r="MME36" s="707"/>
      <c r="MMF36" s="707"/>
      <c r="MMG36" s="707"/>
      <c r="MMH36" s="707"/>
      <c r="MMI36" s="707"/>
      <c r="MMJ36" s="707"/>
      <c r="MMK36" s="707"/>
      <c r="MML36" s="707"/>
      <c r="MMM36" s="707"/>
      <c r="MMN36" s="707"/>
      <c r="MMO36" s="707"/>
      <c r="MMP36" s="707"/>
      <c r="MMQ36" s="707"/>
      <c r="MMR36" s="707"/>
      <c r="MMS36" s="707"/>
      <c r="MMT36" s="707"/>
      <c r="MMU36" s="707"/>
      <c r="MMV36" s="707"/>
      <c r="MMW36" s="707"/>
      <c r="MMX36" s="707"/>
      <c r="MMY36" s="707"/>
      <c r="MMZ36" s="707"/>
      <c r="MNA36" s="707"/>
      <c r="MNB36" s="707"/>
      <c r="MNC36" s="707"/>
      <c r="MND36" s="707"/>
      <c r="MNE36" s="707"/>
      <c r="MNF36" s="707"/>
      <c r="MNG36" s="707"/>
      <c r="MNH36" s="707"/>
      <c r="MNI36" s="707"/>
      <c r="MNJ36" s="707"/>
      <c r="MNK36" s="707"/>
      <c r="MNL36" s="707"/>
      <c r="MNM36" s="707"/>
      <c r="MNN36" s="707"/>
      <c r="MNO36" s="707"/>
      <c r="MNP36" s="707"/>
      <c r="MNQ36" s="707"/>
      <c r="MNR36" s="707"/>
      <c r="MNS36" s="707"/>
      <c r="MNT36" s="707"/>
      <c r="MNU36" s="707"/>
      <c r="MNV36" s="707"/>
      <c r="MNW36" s="707"/>
      <c r="MNX36" s="707"/>
      <c r="MNY36" s="707"/>
      <c r="MNZ36" s="707"/>
      <c r="MOA36" s="707"/>
      <c r="MOB36" s="707"/>
      <c r="MOC36" s="707"/>
      <c r="MOD36" s="707"/>
      <c r="MOE36" s="707"/>
      <c r="MOF36" s="707"/>
      <c r="MOG36" s="707"/>
      <c r="MOH36" s="707"/>
      <c r="MOI36" s="707"/>
      <c r="MOJ36" s="707"/>
      <c r="MOK36" s="707"/>
      <c r="MOL36" s="707"/>
      <c r="MOM36" s="707"/>
      <c r="MON36" s="707"/>
      <c r="MOO36" s="707"/>
      <c r="MOP36" s="707"/>
      <c r="MOQ36" s="707"/>
      <c r="MOR36" s="707"/>
      <c r="MOS36" s="707"/>
      <c r="MOT36" s="707"/>
      <c r="MOU36" s="707"/>
      <c r="MOV36" s="707"/>
      <c r="MOW36" s="707"/>
      <c r="MOX36" s="707"/>
      <c r="MOY36" s="707"/>
      <c r="MOZ36" s="707"/>
      <c r="MPA36" s="707"/>
      <c r="MPB36" s="707"/>
      <c r="MPC36" s="707"/>
      <c r="MPD36" s="707"/>
      <c r="MPE36" s="707"/>
      <c r="MPF36" s="707"/>
      <c r="MPG36" s="707"/>
      <c r="MPH36" s="707"/>
      <c r="MPI36" s="707"/>
      <c r="MPJ36" s="707"/>
      <c r="MPK36" s="707"/>
      <c r="MPL36" s="707"/>
      <c r="MPM36" s="707"/>
      <c r="MPN36" s="707"/>
      <c r="MPO36" s="707"/>
      <c r="MPP36" s="707"/>
      <c r="MPQ36" s="707"/>
      <c r="MPR36" s="707"/>
      <c r="MPS36" s="707"/>
      <c r="MPT36" s="707"/>
      <c r="MPU36" s="707"/>
      <c r="MPV36" s="707"/>
      <c r="MPW36" s="707"/>
      <c r="MPX36" s="707"/>
      <c r="MPY36" s="707"/>
      <c r="MPZ36" s="707"/>
      <c r="MQA36" s="707"/>
      <c r="MQB36" s="707"/>
      <c r="MQC36" s="707"/>
      <c r="MQD36" s="707"/>
      <c r="MQE36" s="707"/>
      <c r="MQF36" s="707"/>
      <c r="MQG36" s="707"/>
      <c r="MQH36" s="707"/>
      <c r="MQI36" s="707"/>
      <c r="MQJ36" s="707"/>
      <c r="MQK36" s="707"/>
      <c r="MQL36" s="707"/>
      <c r="MQM36" s="707"/>
      <c r="MQN36" s="707"/>
      <c r="MQO36" s="707"/>
      <c r="MQP36" s="707"/>
      <c r="MQQ36" s="707"/>
      <c r="MQR36" s="707"/>
      <c r="MQS36" s="707"/>
      <c r="MQT36" s="707"/>
      <c r="MQU36" s="707"/>
      <c r="MQV36" s="707"/>
      <c r="MQW36" s="707"/>
      <c r="MQX36" s="707"/>
      <c r="MQY36" s="707"/>
      <c r="MQZ36" s="707"/>
      <c r="MRA36" s="707"/>
      <c r="MRB36" s="707"/>
      <c r="MRC36" s="707"/>
      <c r="MRD36" s="707"/>
      <c r="MRE36" s="707"/>
      <c r="MRF36" s="707"/>
      <c r="MRG36" s="707"/>
      <c r="MRH36" s="707"/>
      <c r="MRI36" s="707"/>
      <c r="MRJ36" s="707"/>
      <c r="MRK36" s="707"/>
      <c r="MRL36" s="707"/>
      <c r="MRM36" s="707"/>
      <c r="MRN36" s="707"/>
      <c r="MRO36" s="707"/>
      <c r="MRP36" s="707"/>
      <c r="MRQ36" s="707"/>
      <c r="MRR36" s="707"/>
      <c r="MRS36" s="707"/>
      <c r="MRT36" s="707"/>
      <c r="MRU36" s="707"/>
      <c r="MRV36" s="707"/>
      <c r="MRW36" s="707"/>
      <c r="MRX36" s="707"/>
      <c r="MRY36" s="707"/>
      <c r="MRZ36" s="707"/>
      <c r="MSA36" s="707"/>
      <c r="MSB36" s="707"/>
      <c r="MSC36" s="707"/>
      <c r="MSD36" s="707"/>
      <c r="MSE36" s="707"/>
      <c r="MSF36" s="707"/>
      <c r="MSG36" s="707"/>
      <c r="MSH36" s="707"/>
      <c r="MSI36" s="707"/>
      <c r="MSJ36" s="707"/>
      <c r="MSK36" s="707"/>
      <c r="MSL36" s="707"/>
      <c r="MSM36" s="707"/>
      <c r="MSN36" s="707"/>
      <c r="MSO36" s="707"/>
      <c r="MSP36" s="707"/>
      <c r="MSQ36" s="707"/>
      <c r="MSR36" s="707"/>
      <c r="MSS36" s="707"/>
      <c r="MST36" s="707"/>
      <c r="MSU36" s="707"/>
      <c r="MSV36" s="707"/>
      <c r="MSW36" s="707"/>
      <c r="MSX36" s="707"/>
      <c r="MSY36" s="707"/>
      <c r="MSZ36" s="707"/>
      <c r="MTA36" s="707"/>
      <c r="MTB36" s="707"/>
      <c r="MTC36" s="707"/>
      <c r="MTD36" s="707"/>
      <c r="MTE36" s="707"/>
      <c r="MTF36" s="707"/>
      <c r="MTG36" s="707"/>
      <c r="MTH36" s="707"/>
      <c r="MTI36" s="707"/>
      <c r="MTJ36" s="707"/>
      <c r="MTK36" s="707"/>
      <c r="MTL36" s="707"/>
      <c r="MTM36" s="707"/>
      <c r="MTN36" s="707"/>
      <c r="MTO36" s="707"/>
      <c r="MTP36" s="707"/>
      <c r="MTQ36" s="707"/>
      <c r="MTR36" s="707"/>
      <c r="MTS36" s="707"/>
      <c r="MTT36" s="707"/>
      <c r="MTU36" s="707"/>
      <c r="MTV36" s="707"/>
      <c r="MTW36" s="707"/>
      <c r="MTX36" s="707"/>
      <c r="MTY36" s="707"/>
      <c r="MTZ36" s="707"/>
      <c r="MUA36" s="707"/>
      <c r="MUB36" s="707"/>
      <c r="MUC36" s="707"/>
      <c r="MUD36" s="707"/>
      <c r="MUE36" s="707"/>
      <c r="MUF36" s="707"/>
      <c r="MUG36" s="707"/>
      <c r="MUH36" s="707"/>
      <c r="MUI36" s="707"/>
      <c r="MUJ36" s="707"/>
      <c r="MUK36" s="707"/>
      <c r="MUL36" s="707"/>
      <c r="MUM36" s="707"/>
      <c r="MUN36" s="707"/>
      <c r="MUO36" s="707"/>
      <c r="MUP36" s="707"/>
      <c r="MUQ36" s="707"/>
      <c r="MUR36" s="707"/>
      <c r="MUS36" s="707"/>
      <c r="MUT36" s="707"/>
      <c r="MUU36" s="707"/>
      <c r="MUV36" s="707"/>
      <c r="MUW36" s="707"/>
      <c r="MUX36" s="707"/>
      <c r="MUY36" s="707"/>
      <c r="MUZ36" s="707"/>
      <c r="MVA36" s="707"/>
      <c r="MVB36" s="707"/>
      <c r="MVC36" s="707"/>
      <c r="MVD36" s="707"/>
      <c r="MVE36" s="707"/>
      <c r="MVF36" s="707"/>
      <c r="MVG36" s="707"/>
      <c r="MVH36" s="707"/>
      <c r="MVI36" s="707"/>
      <c r="MVJ36" s="707"/>
      <c r="MVK36" s="707"/>
      <c r="MVL36" s="707"/>
      <c r="MVM36" s="707"/>
      <c r="MVN36" s="707"/>
      <c r="MVO36" s="707"/>
      <c r="MVP36" s="707"/>
      <c r="MVQ36" s="707"/>
      <c r="MVR36" s="707"/>
      <c r="MVS36" s="707"/>
      <c r="MVT36" s="707"/>
      <c r="MVU36" s="707"/>
      <c r="MVV36" s="707"/>
      <c r="MVW36" s="707"/>
      <c r="MVX36" s="707"/>
      <c r="MVY36" s="707"/>
      <c r="MVZ36" s="707"/>
      <c r="MWA36" s="707"/>
      <c r="MWB36" s="707"/>
      <c r="MWC36" s="707"/>
      <c r="MWD36" s="707"/>
      <c r="MWE36" s="707"/>
      <c r="MWF36" s="707"/>
      <c r="MWG36" s="707"/>
      <c r="MWH36" s="707"/>
      <c r="MWI36" s="707"/>
      <c r="MWJ36" s="707"/>
      <c r="MWK36" s="707"/>
      <c r="MWL36" s="707"/>
      <c r="MWM36" s="707"/>
      <c r="MWN36" s="707"/>
      <c r="MWO36" s="707"/>
      <c r="MWP36" s="707"/>
      <c r="MWQ36" s="707"/>
      <c r="MWR36" s="707"/>
      <c r="MWS36" s="707"/>
      <c r="MWT36" s="707"/>
      <c r="MWU36" s="707"/>
      <c r="MWV36" s="707"/>
      <c r="MWW36" s="707"/>
      <c r="MWX36" s="707"/>
      <c r="MWY36" s="707"/>
      <c r="MWZ36" s="707"/>
      <c r="MXA36" s="707"/>
      <c r="MXB36" s="707"/>
      <c r="MXC36" s="707"/>
      <c r="MXD36" s="707"/>
      <c r="MXE36" s="707"/>
      <c r="MXF36" s="707"/>
      <c r="MXG36" s="707"/>
      <c r="MXH36" s="707"/>
      <c r="MXI36" s="707"/>
      <c r="MXJ36" s="707"/>
      <c r="MXK36" s="707"/>
      <c r="MXL36" s="707"/>
      <c r="MXM36" s="707"/>
      <c r="MXN36" s="707"/>
      <c r="MXO36" s="707"/>
      <c r="MXP36" s="707"/>
      <c r="MXQ36" s="707"/>
      <c r="MXR36" s="707"/>
      <c r="MXS36" s="707"/>
      <c r="MXT36" s="707"/>
      <c r="MXU36" s="707"/>
      <c r="MXV36" s="707"/>
      <c r="MXW36" s="707"/>
      <c r="MXX36" s="707"/>
      <c r="MXY36" s="707"/>
      <c r="MXZ36" s="707"/>
      <c r="MYA36" s="707"/>
      <c r="MYB36" s="707"/>
      <c r="MYC36" s="707"/>
      <c r="MYD36" s="707"/>
      <c r="MYE36" s="707"/>
      <c r="MYF36" s="707"/>
      <c r="MYG36" s="707"/>
      <c r="MYH36" s="707"/>
      <c r="MYI36" s="707"/>
      <c r="MYJ36" s="707"/>
      <c r="MYK36" s="707"/>
      <c r="MYL36" s="707"/>
      <c r="MYM36" s="707"/>
      <c r="MYN36" s="707"/>
      <c r="MYO36" s="707"/>
      <c r="MYP36" s="707"/>
      <c r="MYQ36" s="707"/>
      <c r="MYR36" s="707"/>
      <c r="MYS36" s="707"/>
      <c r="MYT36" s="707"/>
      <c r="MYU36" s="707"/>
      <c r="MYV36" s="707"/>
      <c r="MYW36" s="707"/>
      <c r="MYX36" s="707"/>
      <c r="MYY36" s="707"/>
      <c r="MYZ36" s="707"/>
      <c r="MZA36" s="707"/>
      <c r="MZB36" s="707"/>
      <c r="MZC36" s="707"/>
      <c r="MZD36" s="707"/>
      <c r="MZE36" s="707"/>
      <c r="MZF36" s="707"/>
      <c r="MZG36" s="707"/>
      <c r="MZH36" s="707"/>
      <c r="MZI36" s="707"/>
      <c r="MZJ36" s="707"/>
      <c r="MZK36" s="707"/>
      <c r="MZL36" s="707"/>
      <c r="MZM36" s="707"/>
      <c r="MZN36" s="707"/>
      <c r="MZO36" s="707"/>
      <c r="MZP36" s="707"/>
      <c r="MZQ36" s="707"/>
      <c r="MZR36" s="707"/>
      <c r="MZS36" s="707"/>
      <c r="MZT36" s="707"/>
      <c r="MZU36" s="707"/>
      <c r="MZV36" s="707"/>
      <c r="MZW36" s="707"/>
      <c r="MZX36" s="707"/>
      <c r="MZY36" s="707"/>
      <c r="MZZ36" s="707"/>
      <c r="NAA36" s="707"/>
      <c r="NAB36" s="707"/>
      <c r="NAC36" s="707"/>
      <c r="NAD36" s="707"/>
      <c r="NAE36" s="707"/>
      <c r="NAF36" s="707"/>
      <c r="NAG36" s="707"/>
      <c r="NAH36" s="707"/>
      <c r="NAI36" s="707"/>
      <c r="NAJ36" s="707"/>
      <c r="NAK36" s="707"/>
      <c r="NAL36" s="707"/>
      <c r="NAM36" s="707"/>
      <c r="NAN36" s="707"/>
      <c r="NAO36" s="707"/>
      <c r="NAP36" s="707"/>
      <c r="NAQ36" s="707"/>
      <c r="NAR36" s="707"/>
      <c r="NAS36" s="707"/>
      <c r="NAT36" s="707"/>
      <c r="NAU36" s="707"/>
      <c r="NAV36" s="707"/>
      <c r="NAW36" s="707"/>
      <c r="NAX36" s="707"/>
      <c r="NAY36" s="707"/>
      <c r="NAZ36" s="707"/>
      <c r="NBA36" s="707"/>
      <c r="NBB36" s="707"/>
      <c r="NBC36" s="707"/>
      <c r="NBD36" s="707"/>
      <c r="NBE36" s="707"/>
      <c r="NBF36" s="707"/>
      <c r="NBG36" s="707"/>
      <c r="NBH36" s="707"/>
      <c r="NBI36" s="707"/>
      <c r="NBJ36" s="707"/>
      <c r="NBK36" s="707"/>
      <c r="NBL36" s="707"/>
      <c r="NBM36" s="707"/>
      <c r="NBN36" s="707"/>
      <c r="NBO36" s="707"/>
      <c r="NBP36" s="707"/>
      <c r="NBQ36" s="707"/>
      <c r="NBR36" s="707"/>
      <c r="NBS36" s="707"/>
      <c r="NBT36" s="707"/>
      <c r="NBU36" s="707"/>
      <c r="NBV36" s="707"/>
      <c r="NBW36" s="707"/>
      <c r="NBX36" s="707"/>
      <c r="NBY36" s="707"/>
      <c r="NBZ36" s="707"/>
      <c r="NCA36" s="707"/>
      <c r="NCB36" s="707"/>
      <c r="NCC36" s="707"/>
      <c r="NCD36" s="707"/>
      <c r="NCE36" s="707"/>
      <c r="NCF36" s="707"/>
      <c r="NCG36" s="707"/>
      <c r="NCH36" s="707"/>
      <c r="NCI36" s="707"/>
      <c r="NCJ36" s="707"/>
      <c r="NCK36" s="707"/>
      <c r="NCL36" s="707"/>
      <c r="NCM36" s="707"/>
      <c r="NCN36" s="707"/>
      <c r="NCO36" s="707"/>
      <c r="NCP36" s="707"/>
      <c r="NCQ36" s="707"/>
      <c r="NCR36" s="707"/>
      <c r="NCS36" s="707"/>
      <c r="NCT36" s="707"/>
      <c r="NCU36" s="707"/>
      <c r="NCV36" s="707"/>
      <c r="NCW36" s="707"/>
      <c r="NCX36" s="707"/>
      <c r="NCY36" s="707"/>
      <c r="NCZ36" s="707"/>
      <c r="NDA36" s="707"/>
      <c r="NDB36" s="707"/>
      <c r="NDC36" s="707"/>
      <c r="NDD36" s="707"/>
      <c r="NDE36" s="707"/>
      <c r="NDF36" s="707"/>
      <c r="NDG36" s="707"/>
      <c r="NDH36" s="707"/>
      <c r="NDI36" s="707"/>
      <c r="NDJ36" s="707"/>
      <c r="NDK36" s="707"/>
      <c r="NDL36" s="707"/>
      <c r="NDM36" s="707"/>
      <c r="NDN36" s="707"/>
      <c r="NDO36" s="707"/>
      <c r="NDP36" s="707"/>
      <c r="NDQ36" s="707"/>
      <c r="NDR36" s="707"/>
      <c r="NDS36" s="707"/>
      <c r="NDT36" s="707"/>
      <c r="NDU36" s="707"/>
      <c r="NDV36" s="707"/>
      <c r="NDW36" s="707"/>
      <c r="NDX36" s="707"/>
      <c r="NDY36" s="707"/>
      <c r="NDZ36" s="707"/>
      <c r="NEA36" s="707"/>
      <c r="NEB36" s="707"/>
      <c r="NEC36" s="707"/>
      <c r="NED36" s="707"/>
      <c r="NEE36" s="707"/>
      <c r="NEF36" s="707"/>
      <c r="NEG36" s="707"/>
      <c r="NEH36" s="707"/>
      <c r="NEI36" s="707"/>
      <c r="NEJ36" s="707"/>
      <c r="NEK36" s="707"/>
      <c r="NEL36" s="707"/>
      <c r="NEM36" s="707"/>
      <c r="NEN36" s="707"/>
      <c r="NEO36" s="707"/>
      <c r="NEP36" s="707"/>
      <c r="NEQ36" s="707"/>
      <c r="NER36" s="707"/>
      <c r="NES36" s="707"/>
      <c r="NET36" s="707"/>
      <c r="NEU36" s="707"/>
      <c r="NEV36" s="707"/>
      <c r="NEW36" s="707"/>
      <c r="NEX36" s="707"/>
      <c r="NEY36" s="707"/>
      <c r="NEZ36" s="707"/>
      <c r="NFA36" s="707"/>
      <c r="NFB36" s="707"/>
      <c r="NFC36" s="707"/>
      <c r="NFD36" s="707"/>
      <c r="NFE36" s="707"/>
      <c r="NFF36" s="707"/>
      <c r="NFG36" s="707"/>
      <c r="NFH36" s="707"/>
      <c r="NFI36" s="707"/>
      <c r="NFJ36" s="707"/>
      <c r="NFK36" s="707"/>
      <c r="NFL36" s="707"/>
      <c r="NFM36" s="707"/>
      <c r="NFN36" s="707"/>
      <c r="NFO36" s="707"/>
      <c r="NFP36" s="707"/>
      <c r="NFQ36" s="707"/>
      <c r="NFR36" s="707"/>
      <c r="NFS36" s="707"/>
      <c r="NFT36" s="707"/>
      <c r="NFU36" s="707"/>
      <c r="NFV36" s="707"/>
      <c r="NFW36" s="707"/>
      <c r="NFX36" s="707"/>
      <c r="NFY36" s="707"/>
      <c r="NFZ36" s="707"/>
      <c r="NGA36" s="707"/>
      <c r="NGB36" s="707"/>
      <c r="NGC36" s="707"/>
      <c r="NGD36" s="707"/>
      <c r="NGE36" s="707"/>
      <c r="NGF36" s="707"/>
      <c r="NGG36" s="707"/>
      <c r="NGH36" s="707"/>
      <c r="NGI36" s="707"/>
      <c r="NGJ36" s="707"/>
      <c r="NGK36" s="707"/>
      <c r="NGL36" s="707"/>
      <c r="NGM36" s="707"/>
      <c r="NGN36" s="707"/>
      <c r="NGO36" s="707"/>
      <c r="NGP36" s="707"/>
      <c r="NGQ36" s="707"/>
      <c r="NGR36" s="707"/>
      <c r="NGS36" s="707"/>
      <c r="NGT36" s="707"/>
      <c r="NGU36" s="707"/>
      <c r="NGV36" s="707"/>
      <c r="NGW36" s="707"/>
      <c r="NGX36" s="707"/>
      <c r="NGY36" s="707"/>
      <c r="NGZ36" s="707"/>
      <c r="NHA36" s="707"/>
      <c r="NHB36" s="707"/>
      <c r="NHC36" s="707"/>
      <c r="NHD36" s="707"/>
      <c r="NHE36" s="707"/>
      <c r="NHF36" s="707"/>
      <c r="NHG36" s="707"/>
      <c r="NHH36" s="707"/>
      <c r="NHI36" s="707"/>
      <c r="NHJ36" s="707"/>
      <c r="NHK36" s="707"/>
      <c r="NHL36" s="707"/>
      <c r="NHM36" s="707"/>
      <c r="NHN36" s="707"/>
      <c r="NHO36" s="707"/>
      <c r="NHP36" s="707"/>
      <c r="NHQ36" s="707"/>
      <c r="NHR36" s="707"/>
      <c r="NHS36" s="707"/>
      <c r="NHT36" s="707"/>
      <c r="NHU36" s="707"/>
      <c r="NHV36" s="707"/>
      <c r="NHW36" s="707"/>
      <c r="NHX36" s="707"/>
      <c r="NHY36" s="707"/>
      <c r="NHZ36" s="707"/>
      <c r="NIA36" s="707"/>
      <c r="NIB36" s="707"/>
      <c r="NIC36" s="707"/>
      <c r="NID36" s="707"/>
      <c r="NIE36" s="707"/>
      <c r="NIF36" s="707"/>
      <c r="NIG36" s="707"/>
      <c r="NIH36" s="707"/>
      <c r="NII36" s="707"/>
      <c r="NIJ36" s="707"/>
      <c r="NIK36" s="707"/>
      <c r="NIL36" s="707"/>
      <c r="NIM36" s="707"/>
      <c r="NIN36" s="707"/>
      <c r="NIO36" s="707"/>
      <c r="NIP36" s="707"/>
      <c r="NIQ36" s="707"/>
      <c r="NIR36" s="707"/>
      <c r="NIS36" s="707"/>
      <c r="NIT36" s="707"/>
      <c r="NIU36" s="707"/>
      <c r="NIV36" s="707"/>
      <c r="NIW36" s="707"/>
      <c r="NIX36" s="707"/>
      <c r="NIY36" s="707"/>
      <c r="NIZ36" s="707"/>
      <c r="NJA36" s="707"/>
      <c r="NJB36" s="707"/>
      <c r="NJC36" s="707"/>
      <c r="NJD36" s="707"/>
      <c r="NJE36" s="707"/>
      <c r="NJF36" s="707"/>
      <c r="NJG36" s="707"/>
      <c r="NJH36" s="707"/>
      <c r="NJI36" s="707"/>
      <c r="NJJ36" s="707"/>
      <c r="NJK36" s="707"/>
      <c r="NJL36" s="707"/>
      <c r="NJM36" s="707"/>
      <c r="NJN36" s="707"/>
      <c r="NJO36" s="707"/>
      <c r="NJP36" s="707"/>
      <c r="NJQ36" s="707"/>
      <c r="NJR36" s="707"/>
      <c r="NJS36" s="707"/>
      <c r="NJT36" s="707"/>
      <c r="NJU36" s="707"/>
      <c r="NJV36" s="707"/>
      <c r="NJW36" s="707"/>
      <c r="NJX36" s="707"/>
      <c r="NJY36" s="707"/>
      <c r="NJZ36" s="707"/>
      <c r="NKA36" s="707"/>
      <c r="NKB36" s="707"/>
      <c r="NKC36" s="707"/>
      <c r="NKD36" s="707"/>
      <c r="NKE36" s="707"/>
      <c r="NKF36" s="707"/>
      <c r="NKG36" s="707"/>
      <c r="NKH36" s="707"/>
      <c r="NKI36" s="707"/>
      <c r="NKJ36" s="707"/>
      <c r="NKK36" s="707"/>
      <c r="NKL36" s="707"/>
      <c r="NKM36" s="707"/>
      <c r="NKN36" s="707"/>
      <c r="NKO36" s="707"/>
      <c r="NKP36" s="707"/>
      <c r="NKQ36" s="707"/>
      <c r="NKR36" s="707"/>
      <c r="NKS36" s="707"/>
      <c r="NKT36" s="707"/>
      <c r="NKU36" s="707"/>
      <c r="NKV36" s="707"/>
      <c r="NKW36" s="707"/>
      <c r="NKX36" s="707"/>
      <c r="NKY36" s="707"/>
      <c r="NKZ36" s="707"/>
      <c r="NLA36" s="707"/>
      <c r="NLB36" s="707"/>
      <c r="NLC36" s="707"/>
      <c r="NLD36" s="707"/>
      <c r="NLE36" s="707"/>
      <c r="NLF36" s="707"/>
      <c r="NLG36" s="707"/>
      <c r="NLH36" s="707"/>
      <c r="NLI36" s="707"/>
      <c r="NLJ36" s="707"/>
      <c r="NLK36" s="707"/>
      <c r="NLL36" s="707"/>
      <c r="NLM36" s="707"/>
      <c r="NLN36" s="707"/>
      <c r="NLO36" s="707"/>
      <c r="NLP36" s="707"/>
      <c r="NLQ36" s="707"/>
      <c r="NLR36" s="707"/>
      <c r="NLS36" s="707"/>
      <c r="NLT36" s="707"/>
      <c r="NLU36" s="707"/>
      <c r="NLV36" s="707"/>
      <c r="NLW36" s="707"/>
      <c r="NLX36" s="707"/>
      <c r="NLY36" s="707"/>
      <c r="NLZ36" s="707"/>
      <c r="NMA36" s="707"/>
      <c r="NMB36" s="707"/>
      <c r="NMC36" s="707"/>
      <c r="NMD36" s="707"/>
      <c r="NME36" s="707"/>
      <c r="NMF36" s="707"/>
      <c r="NMG36" s="707"/>
      <c r="NMH36" s="707"/>
      <c r="NMI36" s="707"/>
      <c r="NMJ36" s="707"/>
      <c r="NMK36" s="707"/>
      <c r="NML36" s="707"/>
      <c r="NMM36" s="707"/>
      <c r="NMN36" s="707"/>
      <c r="NMO36" s="707"/>
      <c r="NMP36" s="707"/>
      <c r="NMQ36" s="707"/>
      <c r="NMR36" s="707"/>
      <c r="NMS36" s="707"/>
      <c r="NMT36" s="707"/>
      <c r="NMU36" s="707"/>
      <c r="NMV36" s="707"/>
      <c r="NMW36" s="707"/>
      <c r="NMX36" s="707"/>
      <c r="NMY36" s="707"/>
      <c r="NMZ36" s="707"/>
      <c r="NNA36" s="707"/>
      <c r="NNB36" s="707"/>
      <c r="NNC36" s="707"/>
      <c r="NND36" s="707"/>
      <c r="NNE36" s="707"/>
      <c r="NNF36" s="707"/>
      <c r="NNG36" s="707"/>
      <c r="NNH36" s="707"/>
      <c r="NNI36" s="707"/>
      <c r="NNJ36" s="707"/>
      <c r="NNK36" s="707"/>
      <c r="NNL36" s="707"/>
      <c r="NNM36" s="707"/>
      <c r="NNN36" s="707"/>
      <c r="NNO36" s="707"/>
      <c r="NNP36" s="707"/>
      <c r="NNQ36" s="707"/>
      <c r="NNR36" s="707"/>
      <c r="NNS36" s="707"/>
      <c r="NNT36" s="707"/>
      <c r="NNU36" s="707"/>
      <c r="NNV36" s="707"/>
      <c r="NNW36" s="707"/>
      <c r="NNX36" s="707"/>
      <c r="NNY36" s="707"/>
      <c r="NNZ36" s="707"/>
      <c r="NOA36" s="707"/>
      <c r="NOB36" s="707"/>
      <c r="NOC36" s="707"/>
      <c r="NOD36" s="707"/>
      <c r="NOE36" s="707"/>
      <c r="NOF36" s="707"/>
      <c r="NOG36" s="707"/>
      <c r="NOH36" s="707"/>
      <c r="NOI36" s="707"/>
      <c r="NOJ36" s="707"/>
      <c r="NOK36" s="707"/>
      <c r="NOL36" s="707"/>
      <c r="NOM36" s="707"/>
      <c r="NON36" s="707"/>
      <c r="NOO36" s="707"/>
      <c r="NOP36" s="707"/>
      <c r="NOQ36" s="707"/>
      <c r="NOR36" s="707"/>
      <c r="NOS36" s="707"/>
      <c r="NOT36" s="707"/>
      <c r="NOU36" s="707"/>
      <c r="NOV36" s="707"/>
      <c r="NOW36" s="707"/>
      <c r="NOX36" s="707"/>
      <c r="NOY36" s="707"/>
      <c r="NOZ36" s="707"/>
      <c r="NPA36" s="707"/>
      <c r="NPB36" s="707"/>
      <c r="NPC36" s="707"/>
      <c r="NPD36" s="707"/>
      <c r="NPE36" s="707"/>
      <c r="NPF36" s="707"/>
      <c r="NPG36" s="707"/>
      <c r="NPH36" s="707"/>
      <c r="NPI36" s="707"/>
      <c r="NPJ36" s="707"/>
      <c r="NPK36" s="707"/>
      <c r="NPL36" s="707"/>
      <c r="NPM36" s="707"/>
      <c r="NPN36" s="707"/>
      <c r="NPO36" s="707"/>
      <c r="NPP36" s="707"/>
      <c r="NPQ36" s="707"/>
      <c r="NPR36" s="707"/>
      <c r="NPS36" s="707"/>
      <c r="NPT36" s="707"/>
      <c r="NPU36" s="707"/>
      <c r="NPV36" s="707"/>
      <c r="NPW36" s="707"/>
      <c r="NPX36" s="707"/>
      <c r="NPY36" s="707"/>
      <c r="NPZ36" s="707"/>
      <c r="NQA36" s="707"/>
      <c r="NQB36" s="707"/>
      <c r="NQC36" s="707"/>
      <c r="NQD36" s="707"/>
      <c r="NQE36" s="707"/>
      <c r="NQF36" s="707"/>
      <c r="NQG36" s="707"/>
      <c r="NQH36" s="707"/>
      <c r="NQI36" s="707"/>
      <c r="NQJ36" s="707"/>
      <c r="NQK36" s="707"/>
      <c r="NQL36" s="707"/>
      <c r="NQM36" s="707"/>
      <c r="NQN36" s="707"/>
      <c r="NQO36" s="707"/>
      <c r="NQP36" s="707"/>
      <c r="NQQ36" s="707"/>
      <c r="NQR36" s="707"/>
      <c r="NQS36" s="707"/>
      <c r="NQT36" s="707"/>
      <c r="NQU36" s="707"/>
      <c r="NQV36" s="707"/>
      <c r="NQW36" s="707"/>
      <c r="NQX36" s="707"/>
      <c r="NQY36" s="707"/>
      <c r="NQZ36" s="707"/>
      <c r="NRA36" s="707"/>
      <c r="NRB36" s="707"/>
      <c r="NRC36" s="707"/>
      <c r="NRD36" s="707"/>
      <c r="NRE36" s="707"/>
      <c r="NRF36" s="707"/>
      <c r="NRG36" s="707"/>
      <c r="NRH36" s="707"/>
      <c r="NRI36" s="707"/>
      <c r="NRJ36" s="707"/>
      <c r="NRK36" s="707"/>
      <c r="NRL36" s="707"/>
      <c r="NRM36" s="707"/>
      <c r="NRN36" s="707"/>
      <c r="NRO36" s="707"/>
      <c r="NRP36" s="707"/>
      <c r="NRQ36" s="707"/>
      <c r="NRR36" s="707"/>
      <c r="NRS36" s="707"/>
      <c r="NRT36" s="707"/>
      <c r="NRU36" s="707"/>
      <c r="NRV36" s="707"/>
      <c r="NRW36" s="707"/>
      <c r="NRX36" s="707"/>
      <c r="NRY36" s="707"/>
      <c r="NRZ36" s="707"/>
      <c r="NSA36" s="707"/>
      <c r="NSB36" s="707"/>
      <c r="NSC36" s="707"/>
      <c r="NSD36" s="707"/>
      <c r="NSE36" s="707"/>
      <c r="NSF36" s="707"/>
      <c r="NSG36" s="707"/>
      <c r="NSH36" s="707"/>
      <c r="NSI36" s="707"/>
      <c r="NSJ36" s="707"/>
      <c r="NSK36" s="707"/>
      <c r="NSL36" s="707"/>
      <c r="NSM36" s="707"/>
      <c r="NSN36" s="707"/>
      <c r="NSO36" s="707"/>
      <c r="NSP36" s="707"/>
      <c r="NSQ36" s="707"/>
      <c r="NSR36" s="707"/>
      <c r="NSS36" s="707"/>
      <c r="NST36" s="707"/>
      <c r="NSU36" s="707"/>
      <c r="NSV36" s="707"/>
      <c r="NSW36" s="707"/>
      <c r="NSX36" s="707"/>
      <c r="NSY36" s="707"/>
      <c r="NSZ36" s="707"/>
      <c r="NTA36" s="707"/>
      <c r="NTB36" s="707"/>
      <c r="NTC36" s="707"/>
      <c r="NTD36" s="707"/>
      <c r="NTE36" s="707"/>
      <c r="NTF36" s="707"/>
      <c r="NTG36" s="707"/>
      <c r="NTH36" s="707"/>
      <c r="NTI36" s="707"/>
      <c r="NTJ36" s="707"/>
      <c r="NTK36" s="707"/>
      <c r="NTL36" s="707"/>
      <c r="NTM36" s="707"/>
      <c r="NTN36" s="707"/>
      <c r="NTO36" s="707"/>
      <c r="NTP36" s="707"/>
      <c r="NTQ36" s="707"/>
      <c r="NTR36" s="707"/>
      <c r="NTS36" s="707"/>
      <c r="NTT36" s="707"/>
      <c r="NTU36" s="707"/>
      <c r="NTV36" s="707"/>
      <c r="NTW36" s="707"/>
      <c r="NTX36" s="707"/>
      <c r="NTY36" s="707"/>
      <c r="NTZ36" s="707"/>
      <c r="NUA36" s="707"/>
      <c r="NUB36" s="707"/>
      <c r="NUC36" s="707"/>
      <c r="NUD36" s="707"/>
      <c r="NUE36" s="707"/>
      <c r="NUF36" s="707"/>
      <c r="NUG36" s="707"/>
      <c r="NUH36" s="707"/>
      <c r="NUI36" s="707"/>
      <c r="NUJ36" s="707"/>
      <c r="NUK36" s="707"/>
      <c r="NUL36" s="707"/>
      <c r="NUM36" s="707"/>
      <c r="NUN36" s="707"/>
      <c r="NUO36" s="707"/>
      <c r="NUP36" s="707"/>
      <c r="NUQ36" s="707"/>
      <c r="NUR36" s="707"/>
      <c r="NUS36" s="707"/>
      <c r="NUT36" s="707"/>
      <c r="NUU36" s="707"/>
      <c r="NUV36" s="707"/>
      <c r="NUW36" s="707"/>
      <c r="NUX36" s="707"/>
      <c r="NUY36" s="707"/>
      <c r="NUZ36" s="707"/>
      <c r="NVA36" s="707"/>
      <c r="NVB36" s="707"/>
      <c r="NVC36" s="707"/>
      <c r="NVD36" s="707"/>
      <c r="NVE36" s="707"/>
      <c r="NVF36" s="707"/>
      <c r="NVG36" s="707"/>
      <c r="NVH36" s="707"/>
      <c r="NVI36" s="707"/>
      <c r="NVJ36" s="707"/>
      <c r="NVK36" s="707"/>
      <c r="NVL36" s="707"/>
      <c r="NVM36" s="707"/>
      <c r="NVN36" s="707"/>
      <c r="NVO36" s="707"/>
      <c r="NVP36" s="707"/>
      <c r="NVQ36" s="707"/>
      <c r="NVR36" s="707"/>
      <c r="NVS36" s="707"/>
      <c r="NVT36" s="707"/>
      <c r="NVU36" s="707"/>
      <c r="NVV36" s="707"/>
      <c r="NVW36" s="707"/>
      <c r="NVX36" s="707"/>
      <c r="NVY36" s="707"/>
      <c r="NVZ36" s="707"/>
      <c r="NWA36" s="707"/>
      <c r="NWB36" s="707"/>
      <c r="NWC36" s="707"/>
      <c r="NWD36" s="707"/>
      <c r="NWE36" s="707"/>
      <c r="NWF36" s="707"/>
      <c r="NWG36" s="707"/>
      <c r="NWH36" s="707"/>
      <c r="NWI36" s="707"/>
      <c r="NWJ36" s="707"/>
      <c r="NWK36" s="707"/>
      <c r="NWL36" s="707"/>
      <c r="NWM36" s="707"/>
      <c r="NWN36" s="707"/>
      <c r="NWO36" s="707"/>
      <c r="NWP36" s="707"/>
      <c r="NWQ36" s="707"/>
      <c r="NWR36" s="707"/>
      <c r="NWS36" s="707"/>
      <c r="NWT36" s="707"/>
      <c r="NWU36" s="707"/>
      <c r="NWV36" s="707"/>
      <c r="NWW36" s="707"/>
      <c r="NWX36" s="707"/>
      <c r="NWY36" s="707"/>
      <c r="NWZ36" s="707"/>
      <c r="NXA36" s="707"/>
      <c r="NXB36" s="707"/>
      <c r="NXC36" s="707"/>
      <c r="NXD36" s="707"/>
      <c r="NXE36" s="707"/>
      <c r="NXF36" s="707"/>
      <c r="NXG36" s="707"/>
      <c r="NXH36" s="707"/>
      <c r="NXI36" s="707"/>
      <c r="NXJ36" s="707"/>
      <c r="NXK36" s="707"/>
      <c r="NXL36" s="707"/>
      <c r="NXM36" s="707"/>
      <c r="NXN36" s="707"/>
      <c r="NXO36" s="707"/>
      <c r="NXP36" s="707"/>
      <c r="NXQ36" s="707"/>
      <c r="NXR36" s="707"/>
      <c r="NXS36" s="707"/>
      <c r="NXT36" s="707"/>
      <c r="NXU36" s="707"/>
      <c r="NXV36" s="707"/>
      <c r="NXW36" s="707"/>
      <c r="NXX36" s="707"/>
      <c r="NXY36" s="707"/>
      <c r="NXZ36" s="707"/>
      <c r="NYA36" s="707"/>
      <c r="NYB36" s="707"/>
      <c r="NYC36" s="707"/>
      <c r="NYD36" s="707"/>
      <c r="NYE36" s="707"/>
      <c r="NYF36" s="707"/>
      <c r="NYG36" s="707"/>
      <c r="NYH36" s="707"/>
      <c r="NYI36" s="707"/>
      <c r="NYJ36" s="707"/>
      <c r="NYK36" s="707"/>
      <c r="NYL36" s="707"/>
      <c r="NYM36" s="707"/>
      <c r="NYN36" s="707"/>
      <c r="NYO36" s="707"/>
      <c r="NYP36" s="707"/>
      <c r="NYQ36" s="707"/>
      <c r="NYR36" s="707"/>
      <c r="NYS36" s="707"/>
      <c r="NYT36" s="707"/>
      <c r="NYU36" s="707"/>
      <c r="NYV36" s="707"/>
      <c r="NYW36" s="707"/>
      <c r="NYX36" s="707"/>
      <c r="NYY36" s="707"/>
      <c r="NYZ36" s="707"/>
      <c r="NZA36" s="707"/>
      <c r="NZB36" s="707"/>
      <c r="NZC36" s="707"/>
      <c r="NZD36" s="707"/>
      <c r="NZE36" s="707"/>
      <c r="NZF36" s="707"/>
      <c r="NZG36" s="707"/>
      <c r="NZH36" s="707"/>
      <c r="NZI36" s="707"/>
      <c r="NZJ36" s="707"/>
      <c r="NZK36" s="707"/>
      <c r="NZL36" s="707"/>
      <c r="NZM36" s="707"/>
      <c r="NZN36" s="707"/>
      <c r="NZO36" s="707"/>
      <c r="NZP36" s="707"/>
      <c r="NZQ36" s="707"/>
      <c r="NZR36" s="707"/>
      <c r="NZS36" s="707"/>
      <c r="NZT36" s="707"/>
      <c r="NZU36" s="707"/>
      <c r="NZV36" s="707"/>
      <c r="NZW36" s="707"/>
      <c r="NZX36" s="707"/>
      <c r="NZY36" s="707"/>
      <c r="NZZ36" s="707"/>
      <c r="OAA36" s="707"/>
      <c r="OAB36" s="707"/>
      <c r="OAC36" s="707"/>
      <c r="OAD36" s="707"/>
      <c r="OAE36" s="707"/>
      <c r="OAF36" s="707"/>
      <c r="OAG36" s="707"/>
      <c r="OAH36" s="707"/>
      <c r="OAI36" s="707"/>
      <c r="OAJ36" s="707"/>
      <c r="OAK36" s="707"/>
      <c r="OAL36" s="707"/>
      <c r="OAM36" s="707"/>
      <c r="OAN36" s="707"/>
      <c r="OAO36" s="707"/>
      <c r="OAP36" s="707"/>
      <c r="OAQ36" s="707"/>
      <c r="OAR36" s="707"/>
      <c r="OAS36" s="707"/>
      <c r="OAT36" s="707"/>
      <c r="OAU36" s="707"/>
      <c r="OAV36" s="707"/>
      <c r="OAW36" s="707"/>
      <c r="OAX36" s="707"/>
      <c r="OAY36" s="707"/>
      <c r="OAZ36" s="707"/>
      <c r="OBA36" s="707"/>
      <c r="OBB36" s="707"/>
      <c r="OBC36" s="707"/>
      <c r="OBD36" s="707"/>
      <c r="OBE36" s="707"/>
      <c r="OBF36" s="707"/>
      <c r="OBG36" s="707"/>
      <c r="OBH36" s="707"/>
      <c r="OBI36" s="707"/>
      <c r="OBJ36" s="707"/>
      <c r="OBK36" s="707"/>
      <c r="OBL36" s="707"/>
      <c r="OBM36" s="707"/>
      <c r="OBN36" s="707"/>
      <c r="OBO36" s="707"/>
      <c r="OBP36" s="707"/>
      <c r="OBQ36" s="707"/>
      <c r="OBR36" s="707"/>
      <c r="OBS36" s="707"/>
      <c r="OBT36" s="707"/>
      <c r="OBU36" s="707"/>
      <c r="OBV36" s="707"/>
      <c r="OBW36" s="707"/>
      <c r="OBX36" s="707"/>
      <c r="OBY36" s="707"/>
      <c r="OBZ36" s="707"/>
      <c r="OCA36" s="707"/>
      <c r="OCB36" s="707"/>
      <c r="OCC36" s="707"/>
      <c r="OCD36" s="707"/>
      <c r="OCE36" s="707"/>
      <c r="OCF36" s="707"/>
      <c r="OCG36" s="707"/>
      <c r="OCH36" s="707"/>
      <c r="OCI36" s="707"/>
      <c r="OCJ36" s="707"/>
      <c r="OCK36" s="707"/>
      <c r="OCL36" s="707"/>
      <c r="OCM36" s="707"/>
      <c r="OCN36" s="707"/>
      <c r="OCO36" s="707"/>
      <c r="OCP36" s="707"/>
      <c r="OCQ36" s="707"/>
      <c r="OCR36" s="707"/>
      <c r="OCS36" s="707"/>
      <c r="OCT36" s="707"/>
      <c r="OCU36" s="707"/>
      <c r="OCV36" s="707"/>
      <c r="OCW36" s="707"/>
      <c r="OCX36" s="707"/>
      <c r="OCY36" s="707"/>
      <c r="OCZ36" s="707"/>
      <c r="ODA36" s="707"/>
      <c r="ODB36" s="707"/>
      <c r="ODC36" s="707"/>
      <c r="ODD36" s="707"/>
      <c r="ODE36" s="707"/>
      <c r="ODF36" s="707"/>
      <c r="ODG36" s="707"/>
      <c r="ODH36" s="707"/>
      <c r="ODI36" s="707"/>
      <c r="ODJ36" s="707"/>
      <c r="ODK36" s="707"/>
      <c r="ODL36" s="707"/>
      <c r="ODM36" s="707"/>
      <c r="ODN36" s="707"/>
      <c r="ODO36" s="707"/>
      <c r="ODP36" s="707"/>
      <c r="ODQ36" s="707"/>
      <c r="ODR36" s="707"/>
      <c r="ODS36" s="707"/>
      <c r="ODT36" s="707"/>
      <c r="ODU36" s="707"/>
      <c r="ODV36" s="707"/>
      <c r="ODW36" s="707"/>
      <c r="ODX36" s="707"/>
      <c r="ODY36" s="707"/>
      <c r="ODZ36" s="707"/>
      <c r="OEA36" s="707"/>
      <c r="OEB36" s="707"/>
      <c r="OEC36" s="707"/>
      <c r="OED36" s="707"/>
      <c r="OEE36" s="707"/>
      <c r="OEF36" s="707"/>
      <c r="OEG36" s="707"/>
      <c r="OEH36" s="707"/>
      <c r="OEI36" s="707"/>
      <c r="OEJ36" s="707"/>
      <c r="OEK36" s="707"/>
      <c r="OEL36" s="707"/>
      <c r="OEM36" s="707"/>
      <c r="OEN36" s="707"/>
      <c r="OEO36" s="707"/>
      <c r="OEP36" s="707"/>
      <c r="OEQ36" s="707"/>
      <c r="OER36" s="707"/>
      <c r="OES36" s="707"/>
      <c r="OET36" s="707"/>
      <c r="OEU36" s="707"/>
      <c r="OEV36" s="707"/>
      <c r="OEW36" s="707"/>
      <c r="OEX36" s="707"/>
      <c r="OEY36" s="707"/>
      <c r="OEZ36" s="707"/>
      <c r="OFA36" s="707"/>
      <c r="OFB36" s="707"/>
      <c r="OFC36" s="707"/>
      <c r="OFD36" s="707"/>
      <c r="OFE36" s="707"/>
      <c r="OFF36" s="707"/>
      <c r="OFG36" s="707"/>
      <c r="OFH36" s="707"/>
      <c r="OFI36" s="707"/>
      <c r="OFJ36" s="707"/>
      <c r="OFK36" s="707"/>
      <c r="OFL36" s="707"/>
      <c r="OFM36" s="707"/>
      <c r="OFN36" s="707"/>
      <c r="OFO36" s="707"/>
      <c r="OFP36" s="707"/>
      <c r="OFQ36" s="707"/>
      <c r="OFR36" s="707"/>
      <c r="OFS36" s="707"/>
      <c r="OFT36" s="707"/>
      <c r="OFU36" s="707"/>
      <c r="OFV36" s="707"/>
      <c r="OFW36" s="707"/>
      <c r="OFX36" s="707"/>
      <c r="OFY36" s="707"/>
      <c r="OFZ36" s="707"/>
      <c r="OGA36" s="707"/>
      <c r="OGB36" s="707"/>
      <c r="OGC36" s="707"/>
      <c r="OGD36" s="707"/>
      <c r="OGE36" s="707"/>
      <c r="OGF36" s="707"/>
      <c r="OGG36" s="707"/>
      <c r="OGH36" s="707"/>
      <c r="OGI36" s="707"/>
      <c r="OGJ36" s="707"/>
      <c r="OGK36" s="707"/>
      <c r="OGL36" s="707"/>
      <c r="OGM36" s="707"/>
      <c r="OGN36" s="707"/>
      <c r="OGO36" s="707"/>
      <c r="OGP36" s="707"/>
      <c r="OGQ36" s="707"/>
      <c r="OGR36" s="707"/>
      <c r="OGS36" s="707"/>
      <c r="OGT36" s="707"/>
      <c r="OGU36" s="707"/>
      <c r="OGV36" s="707"/>
      <c r="OGW36" s="707"/>
      <c r="OGX36" s="707"/>
      <c r="OGY36" s="707"/>
      <c r="OGZ36" s="707"/>
      <c r="OHA36" s="707"/>
      <c r="OHB36" s="707"/>
      <c r="OHC36" s="707"/>
      <c r="OHD36" s="707"/>
      <c r="OHE36" s="707"/>
      <c r="OHF36" s="707"/>
      <c r="OHG36" s="707"/>
      <c r="OHH36" s="707"/>
      <c r="OHI36" s="707"/>
      <c r="OHJ36" s="707"/>
      <c r="OHK36" s="707"/>
      <c r="OHL36" s="707"/>
      <c r="OHM36" s="707"/>
      <c r="OHN36" s="707"/>
      <c r="OHO36" s="707"/>
      <c r="OHP36" s="707"/>
      <c r="OHQ36" s="707"/>
      <c r="OHR36" s="707"/>
      <c r="OHS36" s="707"/>
      <c r="OHT36" s="707"/>
      <c r="OHU36" s="707"/>
      <c r="OHV36" s="707"/>
      <c r="OHW36" s="707"/>
      <c r="OHX36" s="707"/>
      <c r="OHY36" s="707"/>
      <c r="OHZ36" s="707"/>
      <c r="OIA36" s="707"/>
      <c r="OIB36" s="707"/>
      <c r="OIC36" s="707"/>
      <c r="OID36" s="707"/>
      <c r="OIE36" s="707"/>
      <c r="OIF36" s="707"/>
      <c r="OIG36" s="707"/>
      <c r="OIH36" s="707"/>
      <c r="OII36" s="707"/>
      <c r="OIJ36" s="707"/>
      <c r="OIK36" s="707"/>
      <c r="OIL36" s="707"/>
      <c r="OIM36" s="707"/>
      <c r="OIN36" s="707"/>
      <c r="OIO36" s="707"/>
      <c r="OIP36" s="707"/>
      <c r="OIQ36" s="707"/>
      <c r="OIR36" s="707"/>
      <c r="OIS36" s="707"/>
      <c r="OIT36" s="707"/>
      <c r="OIU36" s="707"/>
      <c r="OIV36" s="707"/>
      <c r="OIW36" s="707"/>
      <c r="OIX36" s="707"/>
      <c r="OIY36" s="707"/>
      <c r="OIZ36" s="707"/>
      <c r="OJA36" s="707"/>
      <c r="OJB36" s="707"/>
      <c r="OJC36" s="707"/>
      <c r="OJD36" s="707"/>
      <c r="OJE36" s="707"/>
      <c r="OJF36" s="707"/>
      <c r="OJG36" s="707"/>
      <c r="OJH36" s="707"/>
      <c r="OJI36" s="707"/>
      <c r="OJJ36" s="707"/>
      <c r="OJK36" s="707"/>
      <c r="OJL36" s="707"/>
      <c r="OJM36" s="707"/>
      <c r="OJN36" s="707"/>
      <c r="OJO36" s="707"/>
      <c r="OJP36" s="707"/>
      <c r="OJQ36" s="707"/>
      <c r="OJR36" s="707"/>
      <c r="OJS36" s="707"/>
      <c r="OJT36" s="707"/>
      <c r="OJU36" s="707"/>
      <c r="OJV36" s="707"/>
      <c r="OJW36" s="707"/>
      <c r="OJX36" s="707"/>
      <c r="OJY36" s="707"/>
      <c r="OJZ36" s="707"/>
      <c r="OKA36" s="707"/>
      <c r="OKB36" s="707"/>
      <c r="OKC36" s="707"/>
      <c r="OKD36" s="707"/>
      <c r="OKE36" s="707"/>
      <c r="OKF36" s="707"/>
      <c r="OKG36" s="707"/>
      <c r="OKH36" s="707"/>
      <c r="OKI36" s="707"/>
      <c r="OKJ36" s="707"/>
      <c r="OKK36" s="707"/>
      <c r="OKL36" s="707"/>
      <c r="OKM36" s="707"/>
      <c r="OKN36" s="707"/>
      <c r="OKO36" s="707"/>
      <c r="OKP36" s="707"/>
      <c r="OKQ36" s="707"/>
      <c r="OKR36" s="707"/>
      <c r="OKS36" s="707"/>
      <c r="OKT36" s="707"/>
      <c r="OKU36" s="707"/>
      <c r="OKV36" s="707"/>
      <c r="OKW36" s="707"/>
      <c r="OKX36" s="707"/>
      <c r="OKY36" s="707"/>
      <c r="OKZ36" s="707"/>
      <c r="OLA36" s="707"/>
      <c r="OLB36" s="707"/>
      <c r="OLC36" s="707"/>
      <c r="OLD36" s="707"/>
      <c r="OLE36" s="707"/>
      <c r="OLF36" s="707"/>
      <c r="OLG36" s="707"/>
      <c r="OLH36" s="707"/>
      <c r="OLI36" s="707"/>
      <c r="OLJ36" s="707"/>
      <c r="OLK36" s="707"/>
      <c r="OLL36" s="707"/>
      <c r="OLM36" s="707"/>
      <c r="OLN36" s="707"/>
      <c r="OLO36" s="707"/>
      <c r="OLP36" s="707"/>
      <c r="OLQ36" s="707"/>
      <c r="OLR36" s="707"/>
      <c r="OLS36" s="707"/>
      <c r="OLT36" s="707"/>
      <c r="OLU36" s="707"/>
      <c r="OLV36" s="707"/>
      <c r="OLW36" s="707"/>
      <c r="OLX36" s="707"/>
      <c r="OLY36" s="707"/>
      <c r="OLZ36" s="707"/>
      <c r="OMA36" s="707"/>
      <c r="OMB36" s="707"/>
      <c r="OMC36" s="707"/>
      <c r="OMD36" s="707"/>
      <c r="OME36" s="707"/>
      <c r="OMF36" s="707"/>
      <c r="OMG36" s="707"/>
      <c r="OMH36" s="707"/>
      <c r="OMI36" s="707"/>
      <c r="OMJ36" s="707"/>
      <c r="OMK36" s="707"/>
      <c r="OML36" s="707"/>
      <c r="OMM36" s="707"/>
      <c r="OMN36" s="707"/>
      <c r="OMO36" s="707"/>
      <c r="OMP36" s="707"/>
      <c r="OMQ36" s="707"/>
      <c r="OMR36" s="707"/>
      <c r="OMS36" s="707"/>
      <c r="OMT36" s="707"/>
      <c r="OMU36" s="707"/>
      <c r="OMV36" s="707"/>
      <c r="OMW36" s="707"/>
      <c r="OMX36" s="707"/>
      <c r="OMY36" s="707"/>
      <c r="OMZ36" s="707"/>
      <c r="ONA36" s="707"/>
      <c r="ONB36" s="707"/>
      <c r="ONC36" s="707"/>
      <c r="OND36" s="707"/>
      <c r="ONE36" s="707"/>
      <c r="ONF36" s="707"/>
      <c r="ONG36" s="707"/>
      <c r="ONH36" s="707"/>
      <c r="ONI36" s="707"/>
      <c r="ONJ36" s="707"/>
      <c r="ONK36" s="707"/>
      <c r="ONL36" s="707"/>
      <c r="ONM36" s="707"/>
      <c r="ONN36" s="707"/>
      <c r="ONO36" s="707"/>
      <c r="ONP36" s="707"/>
      <c r="ONQ36" s="707"/>
      <c r="ONR36" s="707"/>
      <c r="ONS36" s="707"/>
      <c r="ONT36" s="707"/>
      <c r="ONU36" s="707"/>
      <c r="ONV36" s="707"/>
      <c r="ONW36" s="707"/>
      <c r="ONX36" s="707"/>
      <c r="ONY36" s="707"/>
      <c r="ONZ36" s="707"/>
      <c r="OOA36" s="707"/>
      <c r="OOB36" s="707"/>
      <c r="OOC36" s="707"/>
      <c r="OOD36" s="707"/>
      <c r="OOE36" s="707"/>
      <c r="OOF36" s="707"/>
      <c r="OOG36" s="707"/>
      <c r="OOH36" s="707"/>
      <c r="OOI36" s="707"/>
      <c r="OOJ36" s="707"/>
      <c r="OOK36" s="707"/>
      <c r="OOL36" s="707"/>
      <c r="OOM36" s="707"/>
      <c r="OON36" s="707"/>
      <c r="OOO36" s="707"/>
      <c r="OOP36" s="707"/>
      <c r="OOQ36" s="707"/>
      <c r="OOR36" s="707"/>
      <c r="OOS36" s="707"/>
      <c r="OOT36" s="707"/>
      <c r="OOU36" s="707"/>
      <c r="OOV36" s="707"/>
      <c r="OOW36" s="707"/>
      <c r="OOX36" s="707"/>
      <c r="OOY36" s="707"/>
      <c r="OOZ36" s="707"/>
      <c r="OPA36" s="707"/>
      <c r="OPB36" s="707"/>
      <c r="OPC36" s="707"/>
      <c r="OPD36" s="707"/>
      <c r="OPE36" s="707"/>
      <c r="OPF36" s="707"/>
      <c r="OPG36" s="707"/>
      <c r="OPH36" s="707"/>
      <c r="OPI36" s="707"/>
      <c r="OPJ36" s="707"/>
      <c r="OPK36" s="707"/>
      <c r="OPL36" s="707"/>
      <c r="OPM36" s="707"/>
      <c r="OPN36" s="707"/>
      <c r="OPO36" s="707"/>
      <c r="OPP36" s="707"/>
      <c r="OPQ36" s="707"/>
      <c r="OPR36" s="707"/>
      <c r="OPS36" s="707"/>
      <c r="OPT36" s="707"/>
      <c r="OPU36" s="707"/>
      <c r="OPV36" s="707"/>
      <c r="OPW36" s="707"/>
      <c r="OPX36" s="707"/>
      <c r="OPY36" s="707"/>
      <c r="OPZ36" s="707"/>
      <c r="OQA36" s="707"/>
      <c r="OQB36" s="707"/>
      <c r="OQC36" s="707"/>
      <c r="OQD36" s="707"/>
      <c r="OQE36" s="707"/>
      <c r="OQF36" s="707"/>
      <c r="OQG36" s="707"/>
      <c r="OQH36" s="707"/>
      <c r="OQI36" s="707"/>
      <c r="OQJ36" s="707"/>
      <c r="OQK36" s="707"/>
      <c r="OQL36" s="707"/>
      <c r="OQM36" s="707"/>
      <c r="OQN36" s="707"/>
      <c r="OQO36" s="707"/>
      <c r="OQP36" s="707"/>
      <c r="OQQ36" s="707"/>
      <c r="OQR36" s="707"/>
      <c r="OQS36" s="707"/>
      <c r="OQT36" s="707"/>
      <c r="OQU36" s="707"/>
      <c r="OQV36" s="707"/>
      <c r="OQW36" s="707"/>
      <c r="OQX36" s="707"/>
      <c r="OQY36" s="707"/>
      <c r="OQZ36" s="707"/>
      <c r="ORA36" s="707"/>
      <c r="ORB36" s="707"/>
      <c r="ORC36" s="707"/>
      <c r="ORD36" s="707"/>
      <c r="ORE36" s="707"/>
      <c r="ORF36" s="707"/>
      <c r="ORG36" s="707"/>
      <c r="ORH36" s="707"/>
      <c r="ORI36" s="707"/>
      <c r="ORJ36" s="707"/>
      <c r="ORK36" s="707"/>
      <c r="ORL36" s="707"/>
      <c r="ORM36" s="707"/>
      <c r="ORN36" s="707"/>
      <c r="ORO36" s="707"/>
      <c r="ORP36" s="707"/>
      <c r="ORQ36" s="707"/>
      <c r="ORR36" s="707"/>
      <c r="ORS36" s="707"/>
      <c r="ORT36" s="707"/>
      <c r="ORU36" s="707"/>
      <c r="ORV36" s="707"/>
      <c r="ORW36" s="707"/>
      <c r="ORX36" s="707"/>
      <c r="ORY36" s="707"/>
      <c r="ORZ36" s="707"/>
      <c r="OSA36" s="707"/>
      <c r="OSB36" s="707"/>
      <c r="OSC36" s="707"/>
      <c r="OSD36" s="707"/>
      <c r="OSE36" s="707"/>
      <c r="OSF36" s="707"/>
      <c r="OSG36" s="707"/>
      <c r="OSH36" s="707"/>
      <c r="OSI36" s="707"/>
      <c r="OSJ36" s="707"/>
      <c r="OSK36" s="707"/>
      <c r="OSL36" s="707"/>
      <c r="OSM36" s="707"/>
      <c r="OSN36" s="707"/>
      <c r="OSO36" s="707"/>
      <c r="OSP36" s="707"/>
      <c r="OSQ36" s="707"/>
      <c r="OSR36" s="707"/>
      <c r="OSS36" s="707"/>
      <c r="OST36" s="707"/>
      <c r="OSU36" s="707"/>
      <c r="OSV36" s="707"/>
      <c r="OSW36" s="707"/>
      <c r="OSX36" s="707"/>
      <c r="OSY36" s="707"/>
      <c r="OSZ36" s="707"/>
      <c r="OTA36" s="707"/>
      <c r="OTB36" s="707"/>
      <c r="OTC36" s="707"/>
      <c r="OTD36" s="707"/>
      <c r="OTE36" s="707"/>
      <c r="OTF36" s="707"/>
      <c r="OTG36" s="707"/>
      <c r="OTH36" s="707"/>
      <c r="OTI36" s="707"/>
      <c r="OTJ36" s="707"/>
      <c r="OTK36" s="707"/>
      <c r="OTL36" s="707"/>
      <c r="OTM36" s="707"/>
      <c r="OTN36" s="707"/>
      <c r="OTO36" s="707"/>
      <c r="OTP36" s="707"/>
      <c r="OTQ36" s="707"/>
      <c r="OTR36" s="707"/>
      <c r="OTS36" s="707"/>
      <c r="OTT36" s="707"/>
      <c r="OTU36" s="707"/>
      <c r="OTV36" s="707"/>
      <c r="OTW36" s="707"/>
      <c r="OTX36" s="707"/>
      <c r="OTY36" s="707"/>
      <c r="OTZ36" s="707"/>
      <c r="OUA36" s="707"/>
      <c r="OUB36" s="707"/>
      <c r="OUC36" s="707"/>
      <c r="OUD36" s="707"/>
      <c r="OUE36" s="707"/>
      <c r="OUF36" s="707"/>
      <c r="OUG36" s="707"/>
      <c r="OUH36" s="707"/>
      <c r="OUI36" s="707"/>
      <c r="OUJ36" s="707"/>
      <c r="OUK36" s="707"/>
      <c r="OUL36" s="707"/>
      <c r="OUM36" s="707"/>
      <c r="OUN36" s="707"/>
      <c r="OUO36" s="707"/>
      <c r="OUP36" s="707"/>
      <c r="OUQ36" s="707"/>
      <c r="OUR36" s="707"/>
      <c r="OUS36" s="707"/>
      <c r="OUT36" s="707"/>
      <c r="OUU36" s="707"/>
      <c r="OUV36" s="707"/>
      <c r="OUW36" s="707"/>
      <c r="OUX36" s="707"/>
      <c r="OUY36" s="707"/>
      <c r="OUZ36" s="707"/>
      <c r="OVA36" s="707"/>
      <c r="OVB36" s="707"/>
      <c r="OVC36" s="707"/>
      <c r="OVD36" s="707"/>
      <c r="OVE36" s="707"/>
      <c r="OVF36" s="707"/>
      <c r="OVG36" s="707"/>
      <c r="OVH36" s="707"/>
      <c r="OVI36" s="707"/>
      <c r="OVJ36" s="707"/>
      <c r="OVK36" s="707"/>
      <c r="OVL36" s="707"/>
      <c r="OVM36" s="707"/>
      <c r="OVN36" s="707"/>
      <c r="OVO36" s="707"/>
      <c r="OVP36" s="707"/>
      <c r="OVQ36" s="707"/>
      <c r="OVR36" s="707"/>
      <c r="OVS36" s="707"/>
      <c r="OVT36" s="707"/>
      <c r="OVU36" s="707"/>
      <c r="OVV36" s="707"/>
      <c r="OVW36" s="707"/>
      <c r="OVX36" s="707"/>
      <c r="OVY36" s="707"/>
      <c r="OVZ36" s="707"/>
      <c r="OWA36" s="707"/>
      <c r="OWB36" s="707"/>
      <c r="OWC36" s="707"/>
      <c r="OWD36" s="707"/>
      <c r="OWE36" s="707"/>
      <c r="OWF36" s="707"/>
      <c r="OWG36" s="707"/>
      <c r="OWH36" s="707"/>
      <c r="OWI36" s="707"/>
      <c r="OWJ36" s="707"/>
      <c r="OWK36" s="707"/>
      <c r="OWL36" s="707"/>
      <c r="OWM36" s="707"/>
      <c r="OWN36" s="707"/>
      <c r="OWO36" s="707"/>
      <c r="OWP36" s="707"/>
      <c r="OWQ36" s="707"/>
      <c r="OWR36" s="707"/>
      <c r="OWS36" s="707"/>
      <c r="OWT36" s="707"/>
      <c r="OWU36" s="707"/>
      <c r="OWV36" s="707"/>
      <c r="OWW36" s="707"/>
      <c r="OWX36" s="707"/>
      <c r="OWY36" s="707"/>
      <c r="OWZ36" s="707"/>
      <c r="OXA36" s="707"/>
      <c r="OXB36" s="707"/>
      <c r="OXC36" s="707"/>
      <c r="OXD36" s="707"/>
      <c r="OXE36" s="707"/>
      <c r="OXF36" s="707"/>
      <c r="OXG36" s="707"/>
      <c r="OXH36" s="707"/>
      <c r="OXI36" s="707"/>
      <c r="OXJ36" s="707"/>
      <c r="OXK36" s="707"/>
      <c r="OXL36" s="707"/>
      <c r="OXM36" s="707"/>
      <c r="OXN36" s="707"/>
      <c r="OXO36" s="707"/>
      <c r="OXP36" s="707"/>
      <c r="OXQ36" s="707"/>
      <c r="OXR36" s="707"/>
      <c r="OXS36" s="707"/>
      <c r="OXT36" s="707"/>
      <c r="OXU36" s="707"/>
      <c r="OXV36" s="707"/>
      <c r="OXW36" s="707"/>
      <c r="OXX36" s="707"/>
      <c r="OXY36" s="707"/>
      <c r="OXZ36" s="707"/>
      <c r="OYA36" s="707"/>
      <c r="OYB36" s="707"/>
      <c r="OYC36" s="707"/>
      <c r="OYD36" s="707"/>
      <c r="OYE36" s="707"/>
      <c r="OYF36" s="707"/>
      <c r="OYG36" s="707"/>
      <c r="OYH36" s="707"/>
      <c r="OYI36" s="707"/>
      <c r="OYJ36" s="707"/>
      <c r="OYK36" s="707"/>
      <c r="OYL36" s="707"/>
      <c r="OYM36" s="707"/>
      <c r="OYN36" s="707"/>
      <c r="OYO36" s="707"/>
      <c r="OYP36" s="707"/>
      <c r="OYQ36" s="707"/>
      <c r="OYR36" s="707"/>
      <c r="OYS36" s="707"/>
      <c r="OYT36" s="707"/>
      <c r="OYU36" s="707"/>
      <c r="OYV36" s="707"/>
      <c r="OYW36" s="707"/>
      <c r="OYX36" s="707"/>
      <c r="OYY36" s="707"/>
      <c r="OYZ36" s="707"/>
      <c r="OZA36" s="707"/>
      <c r="OZB36" s="707"/>
      <c r="OZC36" s="707"/>
      <c r="OZD36" s="707"/>
      <c r="OZE36" s="707"/>
      <c r="OZF36" s="707"/>
      <c r="OZG36" s="707"/>
      <c r="OZH36" s="707"/>
      <c r="OZI36" s="707"/>
      <c r="OZJ36" s="707"/>
      <c r="OZK36" s="707"/>
      <c r="OZL36" s="707"/>
      <c r="OZM36" s="707"/>
      <c r="OZN36" s="707"/>
      <c r="OZO36" s="707"/>
      <c r="OZP36" s="707"/>
      <c r="OZQ36" s="707"/>
      <c r="OZR36" s="707"/>
      <c r="OZS36" s="707"/>
      <c r="OZT36" s="707"/>
      <c r="OZU36" s="707"/>
      <c r="OZV36" s="707"/>
      <c r="OZW36" s="707"/>
      <c r="OZX36" s="707"/>
      <c r="OZY36" s="707"/>
      <c r="OZZ36" s="707"/>
      <c r="PAA36" s="707"/>
      <c r="PAB36" s="707"/>
      <c r="PAC36" s="707"/>
      <c r="PAD36" s="707"/>
      <c r="PAE36" s="707"/>
      <c r="PAF36" s="707"/>
      <c r="PAG36" s="707"/>
      <c r="PAH36" s="707"/>
      <c r="PAI36" s="707"/>
      <c r="PAJ36" s="707"/>
      <c r="PAK36" s="707"/>
      <c r="PAL36" s="707"/>
      <c r="PAM36" s="707"/>
      <c r="PAN36" s="707"/>
      <c r="PAO36" s="707"/>
      <c r="PAP36" s="707"/>
      <c r="PAQ36" s="707"/>
      <c r="PAR36" s="707"/>
      <c r="PAS36" s="707"/>
      <c r="PAT36" s="707"/>
      <c r="PAU36" s="707"/>
      <c r="PAV36" s="707"/>
      <c r="PAW36" s="707"/>
      <c r="PAX36" s="707"/>
      <c r="PAY36" s="707"/>
      <c r="PAZ36" s="707"/>
      <c r="PBA36" s="707"/>
      <c r="PBB36" s="707"/>
      <c r="PBC36" s="707"/>
      <c r="PBD36" s="707"/>
      <c r="PBE36" s="707"/>
      <c r="PBF36" s="707"/>
      <c r="PBG36" s="707"/>
      <c r="PBH36" s="707"/>
      <c r="PBI36" s="707"/>
      <c r="PBJ36" s="707"/>
      <c r="PBK36" s="707"/>
      <c r="PBL36" s="707"/>
      <c r="PBM36" s="707"/>
      <c r="PBN36" s="707"/>
      <c r="PBO36" s="707"/>
      <c r="PBP36" s="707"/>
      <c r="PBQ36" s="707"/>
      <c r="PBR36" s="707"/>
      <c r="PBS36" s="707"/>
      <c r="PBT36" s="707"/>
      <c r="PBU36" s="707"/>
      <c r="PBV36" s="707"/>
      <c r="PBW36" s="707"/>
      <c r="PBX36" s="707"/>
      <c r="PBY36" s="707"/>
      <c r="PBZ36" s="707"/>
      <c r="PCA36" s="707"/>
      <c r="PCB36" s="707"/>
      <c r="PCC36" s="707"/>
      <c r="PCD36" s="707"/>
      <c r="PCE36" s="707"/>
      <c r="PCF36" s="707"/>
      <c r="PCG36" s="707"/>
      <c r="PCH36" s="707"/>
      <c r="PCI36" s="707"/>
      <c r="PCJ36" s="707"/>
      <c r="PCK36" s="707"/>
      <c r="PCL36" s="707"/>
      <c r="PCM36" s="707"/>
      <c r="PCN36" s="707"/>
      <c r="PCO36" s="707"/>
      <c r="PCP36" s="707"/>
      <c r="PCQ36" s="707"/>
      <c r="PCR36" s="707"/>
      <c r="PCS36" s="707"/>
      <c r="PCT36" s="707"/>
      <c r="PCU36" s="707"/>
      <c r="PCV36" s="707"/>
      <c r="PCW36" s="707"/>
      <c r="PCX36" s="707"/>
      <c r="PCY36" s="707"/>
      <c r="PCZ36" s="707"/>
      <c r="PDA36" s="707"/>
      <c r="PDB36" s="707"/>
      <c r="PDC36" s="707"/>
      <c r="PDD36" s="707"/>
      <c r="PDE36" s="707"/>
      <c r="PDF36" s="707"/>
      <c r="PDG36" s="707"/>
      <c r="PDH36" s="707"/>
      <c r="PDI36" s="707"/>
      <c r="PDJ36" s="707"/>
      <c r="PDK36" s="707"/>
      <c r="PDL36" s="707"/>
      <c r="PDM36" s="707"/>
      <c r="PDN36" s="707"/>
      <c r="PDO36" s="707"/>
      <c r="PDP36" s="707"/>
      <c r="PDQ36" s="707"/>
      <c r="PDR36" s="707"/>
      <c r="PDS36" s="707"/>
      <c r="PDT36" s="707"/>
      <c r="PDU36" s="707"/>
      <c r="PDV36" s="707"/>
      <c r="PDW36" s="707"/>
      <c r="PDX36" s="707"/>
      <c r="PDY36" s="707"/>
      <c r="PDZ36" s="707"/>
      <c r="PEA36" s="707"/>
      <c r="PEB36" s="707"/>
      <c r="PEC36" s="707"/>
      <c r="PED36" s="707"/>
      <c r="PEE36" s="707"/>
      <c r="PEF36" s="707"/>
      <c r="PEG36" s="707"/>
      <c r="PEH36" s="707"/>
      <c r="PEI36" s="707"/>
      <c r="PEJ36" s="707"/>
      <c r="PEK36" s="707"/>
      <c r="PEL36" s="707"/>
      <c r="PEM36" s="707"/>
      <c r="PEN36" s="707"/>
      <c r="PEO36" s="707"/>
      <c r="PEP36" s="707"/>
      <c r="PEQ36" s="707"/>
      <c r="PER36" s="707"/>
      <c r="PES36" s="707"/>
      <c r="PET36" s="707"/>
      <c r="PEU36" s="707"/>
      <c r="PEV36" s="707"/>
      <c r="PEW36" s="707"/>
      <c r="PEX36" s="707"/>
      <c r="PEY36" s="707"/>
      <c r="PEZ36" s="707"/>
      <c r="PFA36" s="707"/>
      <c r="PFB36" s="707"/>
      <c r="PFC36" s="707"/>
      <c r="PFD36" s="707"/>
      <c r="PFE36" s="707"/>
      <c r="PFF36" s="707"/>
      <c r="PFG36" s="707"/>
      <c r="PFH36" s="707"/>
      <c r="PFI36" s="707"/>
      <c r="PFJ36" s="707"/>
      <c r="PFK36" s="707"/>
      <c r="PFL36" s="707"/>
      <c r="PFM36" s="707"/>
      <c r="PFN36" s="707"/>
      <c r="PFO36" s="707"/>
      <c r="PFP36" s="707"/>
      <c r="PFQ36" s="707"/>
      <c r="PFR36" s="707"/>
      <c r="PFS36" s="707"/>
      <c r="PFT36" s="707"/>
      <c r="PFU36" s="707"/>
      <c r="PFV36" s="707"/>
      <c r="PFW36" s="707"/>
      <c r="PFX36" s="707"/>
      <c r="PFY36" s="707"/>
      <c r="PFZ36" s="707"/>
      <c r="PGA36" s="707"/>
      <c r="PGB36" s="707"/>
      <c r="PGC36" s="707"/>
      <c r="PGD36" s="707"/>
      <c r="PGE36" s="707"/>
      <c r="PGF36" s="707"/>
      <c r="PGG36" s="707"/>
      <c r="PGH36" s="707"/>
      <c r="PGI36" s="707"/>
      <c r="PGJ36" s="707"/>
      <c r="PGK36" s="707"/>
      <c r="PGL36" s="707"/>
      <c r="PGM36" s="707"/>
      <c r="PGN36" s="707"/>
      <c r="PGO36" s="707"/>
      <c r="PGP36" s="707"/>
      <c r="PGQ36" s="707"/>
      <c r="PGR36" s="707"/>
      <c r="PGS36" s="707"/>
      <c r="PGT36" s="707"/>
      <c r="PGU36" s="707"/>
      <c r="PGV36" s="707"/>
      <c r="PGW36" s="707"/>
      <c r="PGX36" s="707"/>
      <c r="PGY36" s="707"/>
      <c r="PGZ36" s="707"/>
      <c r="PHA36" s="707"/>
      <c r="PHB36" s="707"/>
      <c r="PHC36" s="707"/>
      <c r="PHD36" s="707"/>
      <c r="PHE36" s="707"/>
      <c r="PHF36" s="707"/>
      <c r="PHG36" s="707"/>
      <c r="PHH36" s="707"/>
      <c r="PHI36" s="707"/>
      <c r="PHJ36" s="707"/>
      <c r="PHK36" s="707"/>
      <c r="PHL36" s="707"/>
      <c r="PHM36" s="707"/>
      <c r="PHN36" s="707"/>
      <c r="PHO36" s="707"/>
      <c r="PHP36" s="707"/>
      <c r="PHQ36" s="707"/>
      <c r="PHR36" s="707"/>
      <c r="PHS36" s="707"/>
      <c r="PHT36" s="707"/>
      <c r="PHU36" s="707"/>
      <c r="PHV36" s="707"/>
      <c r="PHW36" s="707"/>
      <c r="PHX36" s="707"/>
      <c r="PHY36" s="707"/>
      <c r="PHZ36" s="707"/>
      <c r="PIA36" s="707"/>
      <c r="PIB36" s="707"/>
      <c r="PIC36" s="707"/>
      <c r="PID36" s="707"/>
      <c r="PIE36" s="707"/>
      <c r="PIF36" s="707"/>
      <c r="PIG36" s="707"/>
      <c r="PIH36" s="707"/>
      <c r="PII36" s="707"/>
      <c r="PIJ36" s="707"/>
      <c r="PIK36" s="707"/>
      <c r="PIL36" s="707"/>
      <c r="PIM36" s="707"/>
      <c r="PIN36" s="707"/>
      <c r="PIO36" s="707"/>
      <c r="PIP36" s="707"/>
      <c r="PIQ36" s="707"/>
      <c r="PIR36" s="707"/>
      <c r="PIS36" s="707"/>
      <c r="PIT36" s="707"/>
      <c r="PIU36" s="707"/>
      <c r="PIV36" s="707"/>
      <c r="PIW36" s="707"/>
      <c r="PIX36" s="707"/>
      <c r="PIY36" s="707"/>
      <c r="PIZ36" s="707"/>
      <c r="PJA36" s="707"/>
      <c r="PJB36" s="707"/>
      <c r="PJC36" s="707"/>
      <c r="PJD36" s="707"/>
      <c r="PJE36" s="707"/>
      <c r="PJF36" s="707"/>
      <c r="PJG36" s="707"/>
      <c r="PJH36" s="707"/>
      <c r="PJI36" s="707"/>
      <c r="PJJ36" s="707"/>
      <c r="PJK36" s="707"/>
      <c r="PJL36" s="707"/>
      <c r="PJM36" s="707"/>
      <c r="PJN36" s="707"/>
      <c r="PJO36" s="707"/>
      <c r="PJP36" s="707"/>
      <c r="PJQ36" s="707"/>
      <c r="PJR36" s="707"/>
      <c r="PJS36" s="707"/>
      <c r="PJT36" s="707"/>
      <c r="PJU36" s="707"/>
      <c r="PJV36" s="707"/>
      <c r="PJW36" s="707"/>
      <c r="PJX36" s="707"/>
      <c r="PJY36" s="707"/>
      <c r="PJZ36" s="707"/>
      <c r="PKA36" s="707"/>
      <c r="PKB36" s="707"/>
      <c r="PKC36" s="707"/>
      <c r="PKD36" s="707"/>
      <c r="PKE36" s="707"/>
      <c r="PKF36" s="707"/>
      <c r="PKG36" s="707"/>
      <c r="PKH36" s="707"/>
      <c r="PKI36" s="707"/>
      <c r="PKJ36" s="707"/>
      <c r="PKK36" s="707"/>
      <c r="PKL36" s="707"/>
      <c r="PKM36" s="707"/>
      <c r="PKN36" s="707"/>
      <c r="PKO36" s="707"/>
      <c r="PKP36" s="707"/>
      <c r="PKQ36" s="707"/>
      <c r="PKR36" s="707"/>
      <c r="PKS36" s="707"/>
      <c r="PKT36" s="707"/>
      <c r="PKU36" s="707"/>
      <c r="PKV36" s="707"/>
      <c r="PKW36" s="707"/>
      <c r="PKX36" s="707"/>
      <c r="PKY36" s="707"/>
      <c r="PKZ36" s="707"/>
      <c r="PLA36" s="707"/>
      <c r="PLB36" s="707"/>
      <c r="PLC36" s="707"/>
      <c r="PLD36" s="707"/>
      <c r="PLE36" s="707"/>
      <c r="PLF36" s="707"/>
      <c r="PLG36" s="707"/>
      <c r="PLH36" s="707"/>
      <c r="PLI36" s="707"/>
      <c r="PLJ36" s="707"/>
      <c r="PLK36" s="707"/>
      <c r="PLL36" s="707"/>
      <c r="PLM36" s="707"/>
      <c r="PLN36" s="707"/>
      <c r="PLO36" s="707"/>
      <c r="PLP36" s="707"/>
      <c r="PLQ36" s="707"/>
      <c r="PLR36" s="707"/>
      <c r="PLS36" s="707"/>
      <c r="PLT36" s="707"/>
      <c r="PLU36" s="707"/>
      <c r="PLV36" s="707"/>
      <c r="PLW36" s="707"/>
      <c r="PLX36" s="707"/>
      <c r="PLY36" s="707"/>
      <c r="PLZ36" s="707"/>
      <c r="PMA36" s="707"/>
      <c r="PMB36" s="707"/>
      <c r="PMC36" s="707"/>
      <c r="PMD36" s="707"/>
      <c r="PME36" s="707"/>
      <c r="PMF36" s="707"/>
      <c r="PMG36" s="707"/>
      <c r="PMH36" s="707"/>
      <c r="PMI36" s="707"/>
      <c r="PMJ36" s="707"/>
      <c r="PMK36" s="707"/>
      <c r="PML36" s="707"/>
      <c r="PMM36" s="707"/>
      <c r="PMN36" s="707"/>
      <c r="PMO36" s="707"/>
      <c r="PMP36" s="707"/>
      <c r="PMQ36" s="707"/>
      <c r="PMR36" s="707"/>
      <c r="PMS36" s="707"/>
      <c r="PMT36" s="707"/>
      <c r="PMU36" s="707"/>
      <c r="PMV36" s="707"/>
      <c r="PMW36" s="707"/>
      <c r="PMX36" s="707"/>
      <c r="PMY36" s="707"/>
      <c r="PMZ36" s="707"/>
      <c r="PNA36" s="707"/>
      <c r="PNB36" s="707"/>
      <c r="PNC36" s="707"/>
      <c r="PND36" s="707"/>
      <c r="PNE36" s="707"/>
      <c r="PNF36" s="707"/>
      <c r="PNG36" s="707"/>
      <c r="PNH36" s="707"/>
      <c r="PNI36" s="707"/>
      <c r="PNJ36" s="707"/>
      <c r="PNK36" s="707"/>
      <c r="PNL36" s="707"/>
      <c r="PNM36" s="707"/>
      <c r="PNN36" s="707"/>
      <c r="PNO36" s="707"/>
      <c r="PNP36" s="707"/>
      <c r="PNQ36" s="707"/>
      <c r="PNR36" s="707"/>
      <c r="PNS36" s="707"/>
      <c r="PNT36" s="707"/>
      <c r="PNU36" s="707"/>
      <c r="PNV36" s="707"/>
      <c r="PNW36" s="707"/>
      <c r="PNX36" s="707"/>
      <c r="PNY36" s="707"/>
      <c r="PNZ36" s="707"/>
      <c r="POA36" s="707"/>
      <c r="POB36" s="707"/>
      <c r="POC36" s="707"/>
      <c r="POD36" s="707"/>
      <c r="POE36" s="707"/>
      <c r="POF36" s="707"/>
      <c r="POG36" s="707"/>
      <c r="POH36" s="707"/>
      <c r="POI36" s="707"/>
      <c r="POJ36" s="707"/>
      <c r="POK36" s="707"/>
      <c r="POL36" s="707"/>
      <c r="POM36" s="707"/>
      <c r="PON36" s="707"/>
      <c r="POO36" s="707"/>
      <c r="POP36" s="707"/>
      <c r="POQ36" s="707"/>
      <c r="POR36" s="707"/>
      <c r="POS36" s="707"/>
      <c r="POT36" s="707"/>
      <c r="POU36" s="707"/>
      <c r="POV36" s="707"/>
      <c r="POW36" s="707"/>
      <c r="POX36" s="707"/>
      <c r="POY36" s="707"/>
      <c r="POZ36" s="707"/>
      <c r="PPA36" s="707"/>
      <c r="PPB36" s="707"/>
      <c r="PPC36" s="707"/>
      <c r="PPD36" s="707"/>
      <c r="PPE36" s="707"/>
      <c r="PPF36" s="707"/>
      <c r="PPG36" s="707"/>
      <c r="PPH36" s="707"/>
      <c r="PPI36" s="707"/>
      <c r="PPJ36" s="707"/>
      <c r="PPK36" s="707"/>
      <c r="PPL36" s="707"/>
      <c r="PPM36" s="707"/>
      <c r="PPN36" s="707"/>
      <c r="PPO36" s="707"/>
      <c r="PPP36" s="707"/>
      <c r="PPQ36" s="707"/>
      <c r="PPR36" s="707"/>
      <c r="PPS36" s="707"/>
      <c r="PPT36" s="707"/>
      <c r="PPU36" s="707"/>
      <c r="PPV36" s="707"/>
      <c r="PPW36" s="707"/>
      <c r="PPX36" s="707"/>
      <c r="PPY36" s="707"/>
      <c r="PPZ36" s="707"/>
      <c r="PQA36" s="707"/>
      <c r="PQB36" s="707"/>
      <c r="PQC36" s="707"/>
      <c r="PQD36" s="707"/>
      <c r="PQE36" s="707"/>
      <c r="PQF36" s="707"/>
      <c r="PQG36" s="707"/>
      <c r="PQH36" s="707"/>
      <c r="PQI36" s="707"/>
      <c r="PQJ36" s="707"/>
      <c r="PQK36" s="707"/>
      <c r="PQL36" s="707"/>
      <c r="PQM36" s="707"/>
      <c r="PQN36" s="707"/>
      <c r="PQO36" s="707"/>
      <c r="PQP36" s="707"/>
      <c r="PQQ36" s="707"/>
      <c r="PQR36" s="707"/>
      <c r="PQS36" s="707"/>
      <c r="PQT36" s="707"/>
      <c r="PQU36" s="707"/>
      <c r="PQV36" s="707"/>
      <c r="PQW36" s="707"/>
      <c r="PQX36" s="707"/>
      <c r="PQY36" s="707"/>
      <c r="PQZ36" s="707"/>
      <c r="PRA36" s="707"/>
      <c r="PRB36" s="707"/>
      <c r="PRC36" s="707"/>
      <c r="PRD36" s="707"/>
      <c r="PRE36" s="707"/>
      <c r="PRF36" s="707"/>
      <c r="PRG36" s="707"/>
      <c r="PRH36" s="707"/>
      <c r="PRI36" s="707"/>
      <c r="PRJ36" s="707"/>
      <c r="PRK36" s="707"/>
      <c r="PRL36" s="707"/>
      <c r="PRM36" s="707"/>
      <c r="PRN36" s="707"/>
      <c r="PRO36" s="707"/>
      <c r="PRP36" s="707"/>
      <c r="PRQ36" s="707"/>
      <c r="PRR36" s="707"/>
      <c r="PRS36" s="707"/>
      <c r="PRT36" s="707"/>
      <c r="PRU36" s="707"/>
      <c r="PRV36" s="707"/>
      <c r="PRW36" s="707"/>
      <c r="PRX36" s="707"/>
      <c r="PRY36" s="707"/>
      <c r="PRZ36" s="707"/>
      <c r="PSA36" s="707"/>
      <c r="PSB36" s="707"/>
      <c r="PSC36" s="707"/>
      <c r="PSD36" s="707"/>
      <c r="PSE36" s="707"/>
      <c r="PSF36" s="707"/>
      <c r="PSG36" s="707"/>
      <c r="PSH36" s="707"/>
      <c r="PSI36" s="707"/>
      <c r="PSJ36" s="707"/>
      <c r="PSK36" s="707"/>
      <c r="PSL36" s="707"/>
      <c r="PSM36" s="707"/>
      <c r="PSN36" s="707"/>
      <c r="PSO36" s="707"/>
      <c r="PSP36" s="707"/>
      <c r="PSQ36" s="707"/>
      <c r="PSR36" s="707"/>
      <c r="PSS36" s="707"/>
      <c r="PST36" s="707"/>
      <c r="PSU36" s="707"/>
      <c r="PSV36" s="707"/>
      <c r="PSW36" s="707"/>
      <c r="PSX36" s="707"/>
      <c r="PSY36" s="707"/>
      <c r="PSZ36" s="707"/>
      <c r="PTA36" s="707"/>
      <c r="PTB36" s="707"/>
      <c r="PTC36" s="707"/>
      <c r="PTD36" s="707"/>
      <c r="PTE36" s="707"/>
      <c r="PTF36" s="707"/>
      <c r="PTG36" s="707"/>
      <c r="PTH36" s="707"/>
      <c r="PTI36" s="707"/>
      <c r="PTJ36" s="707"/>
      <c r="PTK36" s="707"/>
      <c r="PTL36" s="707"/>
      <c r="PTM36" s="707"/>
      <c r="PTN36" s="707"/>
      <c r="PTO36" s="707"/>
      <c r="PTP36" s="707"/>
      <c r="PTQ36" s="707"/>
      <c r="PTR36" s="707"/>
      <c r="PTS36" s="707"/>
      <c r="PTT36" s="707"/>
      <c r="PTU36" s="707"/>
      <c r="PTV36" s="707"/>
      <c r="PTW36" s="707"/>
      <c r="PTX36" s="707"/>
      <c r="PTY36" s="707"/>
      <c r="PTZ36" s="707"/>
      <c r="PUA36" s="707"/>
      <c r="PUB36" s="707"/>
      <c r="PUC36" s="707"/>
      <c r="PUD36" s="707"/>
      <c r="PUE36" s="707"/>
      <c r="PUF36" s="707"/>
      <c r="PUG36" s="707"/>
      <c r="PUH36" s="707"/>
      <c r="PUI36" s="707"/>
      <c r="PUJ36" s="707"/>
      <c r="PUK36" s="707"/>
      <c r="PUL36" s="707"/>
      <c r="PUM36" s="707"/>
      <c r="PUN36" s="707"/>
      <c r="PUO36" s="707"/>
      <c r="PUP36" s="707"/>
      <c r="PUQ36" s="707"/>
      <c r="PUR36" s="707"/>
      <c r="PUS36" s="707"/>
      <c r="PUT36" s="707"/>
      <c r="PUU36" s="707"/>
      <c r="PUV36" s="707"/>
      <c r="PUW36" s="707"/>
      <c r="PUX36" s="707"/>
      <c r="PUY36" s="707"/>
      <c r="PUZ36" s="707"/>
      <c r="PVA36" s="707"/>
      <c r="PVB36" s="707"/>
      <c r="PVC36" s="707"/>
      <c r="PVD36" s="707"/>
      <c r="PVE36" s="707"/>
      <c r="PVF36" s="707"/>
      <c r="PVG36" s="707"/>
      <c r="PVH36" s="707"/>
      <c r="PVI36" s="707"/>
      <c r="PVJ36" s="707"/>
      <c r="PVK36" s="707"/>
      <c r="PVL36" s="707"/>
      <c r="PVM36" s="707"/>
      <c r="PVN36" s="707"/>
      <c r="PVO36" s="707"/>
      <c r="PVP36" s="707"/>
      <c r="PVQ36" s="707"/>
      <c r="PVR36" s="707"/>
      <c r="PVS36" s="707"/>
      <c r="PVT36" s="707"/>
      <c r="PVU36" s="707"/>
      <c r="PVV36" s="707"/>
      <c r="PVW36" s="707"/>
      <c r="PVX36" s="707"/>
      <c r="PVY36" s="707"/>
      <c r="PVZ36" s="707"/>
      <c r="PWA36" s="707"/>
      <c r="PWB36" s="707"/>
      <c r="PWC36" s="707"/>
      <c r="PWD36" s="707"/>
      <c r="PWE36" s="707"/>
      <c r="PWF36" s="707"/>
      <c r="PWG36" s="707"/>
      <c r="PWH36" s="707"/>
      <c r="PWI36" s="707"/>
      <c r="PWJ36" s="707"/>
      <c r="PWK36" s="707"/>
      <c r="PWL36" s="707"/>
      <c r="PWM36" s="707"/>
      <c r="PWN36" s="707"/>
      <c r="PWO36" s="707"/>
      <c r="PWP36" s="707"/>
      <c r="PWQ36" s="707"/>
      <c r="PWR36" s="707"/>
      <c r="PWS36" s="707"/>
      <c r="PWT36" s="707"/>
      <c r="PWU36" s="707"/>
      <c r="PWV36" s="707"/>
      <c r="PWW36" s="707"/>
      <c r="PWX36" s="707"/>
      <c r="PWY36" s="707"/>
      <c r="PWZ36" s="707"/>
      <c r="PXA36" s="707"/>
      <c r="PXB36" s="707"/>
      <c r="PXC36" s="707"/>
      <c r="PXD36" s="707"/>
      <c r="PXE36" s="707"/>
      <c r="PXF36" s="707"/>
      <c r="PXG36" s="707"/>
      <c r="PXH36" s="707"/>
      <c r="PXI36" s="707"/>
      <c r="PXJ36" s="707"/>
      <c r="PXK36" s="707"/>
      <c r="PXL36" s="707"/>
      <c r="PXM36" s="707"/>
      <c r="PXN36" s="707"/>
      <c r="PXO36" s="707"/>
      <c r="PXP36" s="707"/>
      <c r="PXQ36" s="707"/>
      <c r="PXR36" s="707"/>
      <c r="PXS36" s="707"/>
      <c r="PXT36" s="707"/>
      <c r="PXU36" s="707"/>
      <c r="PXV36" s="707"/>
      <c r="PXW36" s="707"/>
      <c r="PXX36" s="707"/>
      <c r="PXY36" s="707"/>
      <c r="PXZ36" s="707"/>
      <c r="PYA36" s="707"/>
      <c r="PYB36" s="707"/>
      <c r="PYC36" s="707"/>
      <c r="PYD36" s="707"/>
      <c r="PYE36" s="707"/>
      <c r="PYF36" s="707"/>
      <c r="PYG36" s="707"/>
      <c r="PYH36" s="707"/>
      <c r="PYI36" s="707"/>
      <c r="PYJ36" s="707"/>
      <c r="PYK36" s="707"/>
      <c r="PYL36" s="707"/>
      <c r="PYM36" s="707"/>
      <c r="PYN36" s="707"/>
      <c r="PYO36" s="707"/>
      <c r="PYP36" s="707"/>
      <c r="PYQ36" s="707"/>
      <c r="PYR36" s="707"/>
      <c r="PYS36" s="707"/>
      <c r="PYT36" s="707"/>
      <c r="PYU36" s="707"/>
      <c r="PYV36" s="707"/>
      <c r="PYW36" s="707"/>
      <c r="PYX36" s="707"/>
      <c r="PYY36" s="707"/>
      <c r="PYZ36" s="707"/>
      <c r="PZA36" s="707"/>
      <c r="PZB36" s="707"/>
      <c r="PZC36" s="707"/>
      <c r="PZD36" s="707"/>
      <c r="PZE36" s="707"/>
      <c r="PZF36" s="707"/>
      <c r="PZG36" s="707"/>
      <c r="PZH36" s="707"/>
      <c r="PZI36" s="707"/>
      <c r="PZJ36" s="707"/>
      <c r="PZK36" s="707"/>
      <c r="PZL36" s="707"/>
      <c r="PZM36" s="707"/>
      <c r="PZN36" s="707"/>
      <c r="PZO36" s="707"/>
      <c r="PZP36" s="707"/>
      <c r="PZQ36" s="707"/>
      <c r="PZR36" s="707"/>
      <c r="PZS36" s="707"/>
      <c r="PZT36" s="707"/>
      <c r="PZU36" s="707"/>
      <c r="PZV36" s="707"/>
      <c r="PZW36" s="707"/>
      <c r="PZX36" s="707"/>
      <c r="PZY36" s="707"/>
      <c r="PZZ36" s="707"/>
      <c r="QAA36" s="707"/>
      <c r="QAB36" s="707"/>
      <c r="QAC36" s="707"/>
      <c r="QAD36" s="707"/>
      <c r="QAE36" s="707"/>
      <c r="QAF36" s="707"/>
      <c r="QAG36" s="707"/>
      <c r="QAH36" s="707"/>
      <c r="QAI36" s="707"/>
      <c r="QAJ36" s="707"/>
      <c r="QAK36" s="707"/>
      <c r="QAL36" s="707"/>
      <c r="QAM36" s="707"/>
      <c r="QAN36" s="707"/>
      <c r="QAO36" s="707"/>
      <c r="QAP36" s="707"/>
      <c r="QAQ36" s="707"/>
      <c r="QAR36" s="707"/>
      <c r="QAS36" s="707"/>
      <c r="QAT36" s="707"/>
      <c r="QAU36" s="707"/>
      <c r="QAV36" s="707"/>
      <c r="QAW36" s="707"/>
      <c r="QAX36" s="707"/>
      <c r="QAY36" s="707"/>
      <c r="QAZ36" s="707"/>
      <c r="QBA36" s="707"/>
      <c r="QBB36" s="707"/>
      <c r="QBC36" s="707"/>
      <c r="QBD36" s="707"/>
      <c r="QBE36" s="707"/>
      <c r="QBF36" s="707"/>
      <c r="QBG36" s="707"/>
      <c r="QBH36" s="707"/>
      <c r="QBI36" s="707"/>
      <c r="QBJ36" s="707"/>
      <c r="QBK36" s="707"/>
      <c r="QBL36" s="707"/>
      <c r="QBM36" s="707"/>
      <c r="QBN36" s="707"/>
      <c r="QBO36" s="707"/>
      <c r="QBP36" s="707"/>
      <c r="QBQ36" s="707"/>
      <c r="QBR36" s="707"/>
      <c r="QBS36" s="707"/>
      <c r="QBT36" s="707"/>
      <c r="QBU36" s="707"/>
      <c r="QBV36" s="707"/>
      <c r="QBW36" s="707"/>
      <c r="QBX36" s="707"/>
      <c r="QBY36" s="707"/>
      <c r="QBZ36" s="707"/>
      <c r="QCA36" s="707"/>
      <c r="QCB36" s="707"/>
      <c r="QCC36" s="707"/>
      <c r="QCD36" s="707"/>
      <c r="QCE36" s="707"/>
      <c r="QCF36" s="707"/>
      <c r="QCG36" s="707"/>
      <c r="QCH36" s="707"/>
      <c r="QCI36" s="707"/>
      <c r="QCJ36" s="707"/>
      <c r="QCK36" s="707"/>
      <c r="QCL36" s="707"/>
      <c r="QCM36" s="707"/>
      <c r="QCN36" s="707"/>
      <c r="QCO36" s="707"/>
      <c r="QCP36" s="707"/>
      <c r="QCQ36" s="707"/>
      <c r="QCR36" s="707"/>
      <c r="QCS36" s="707"/>
      <c r="QCT36" s="707"/>
      <c r="QCU36" s="707"/>
      <c r="QCV36" s="707"/>
      <c r="QCW36" s="707"/>
      <c r="QCX36" s="707"/>
      <c r="QCY36" s="707"/>
      <c r="QCZ36" s="707"/>
      <c r="QDA36" s="707"/>
      <c r="QDB36" s="707"/>
      <c r="QDC36" s="707"/>
      <c r="QDD36" s="707"/>
      <c r="QDE36" s="707"/>
      <c r="QDF36" s="707"/>
      <c r="QDG36" s="707"/>
      <c r="QDH36" s="707"/>
      <c r="QDI36" s="707"/>
      <c r="QDJ36" s="707"/>
      <c r="QDK36" s="707"/>
      <c r="QDL36" s="707"/>
      <c r="QDM36" s="707"/>
      <c r="QDN36" s="707"/>
      <c r="QDO36" s="707"/>
      <c r="QDP36" s="707"/>
      <c r="QDQ36" s="707"/>
      <c r="QDR36" s="707"/>
      <c r="QDS36" s="707"/>
      <c r="QDT36" s="707"/>
      <c r="QDU36" s="707"/>
      <c r="QDV36" s="707"/>
      <c r="QDW36" s="707"/>
      <c r="QDX36" s="707"/>
      <c r="QDY36" s="707"/>
      <c r="QDZ36" s="707"/>
      <c r="QEA36" s="707"/>
      <c r="QEB36" s="707"/>
      <c r="QEC36" s="707"/>
      <c r="QED36" s="707"/>
      <c r="QEE36" s="707"/>
      <c r="QEF36" s="707"/>
      <c r="QEG36" s="707"/>
      <c r="QEH36" s="707"/>
      <c r="QEI36" s="707"/>
      <c r="QEJ36" s="707"/>
      <c r="QEK36" s="707"/>
      <c r="QEL36" s="707"/>
      <c r="QEM36" s="707"/>
      <c r="QEN36" s="707"/>
      <c r="QEO36" s="707"/>
      <c r="QEP36" s="707"/>
      <c r="QEQ36" s="707"/>
      <c r="QER36" s="707"/>
      <c r="QES36" s="707"/>
      <c r="QET36" s="707"/>
      <c r="QEU36" s="707"/>
      <c r="QEV36" s="707"/>
      <c r="QEW36" s="707"/>
      <c r="QEX36" s="707"/>
      <c r="QEY36" s="707"/>
      <c r="QEZ36" s="707"/>
      <c r="QFA36" s="707"/>
      <c r="QFB36" s="707"/>
      <c r="QFC36" s="707"/>
      <c r="QFD36" s="707"/>
      <c r="QFE36" s="707"/>
      <c r="QFF36" s="707"/>
      <c r="QFG36" s="707"/>
      <c r="QFH36" s="707"/>
      <c r="QFI36" s="707"/>
      <c r="QFJ36" s="707"/>
      <c r="QFK36" s="707"/>
      <c r="QFL36" s="707"/>
      <c r="QFM36" s="707"/>
      <c r="QFN36" s="707"/>
      <c r="QFO36" s="707"/>
      <c r="QFP36" s="707"/>
      <c r="QFQ36" s="707"/>
      <c r="QFR36" s="707"/>
      <c r="QFS36" s="707"/>
      <c r="QFT36" s="707"/>
      <c r="QFU36" s="707"/>
      <c r="QFV36" s="707"/>
      <c r="QFW36" s="707"/>
      <c r="QFX36" s="707"/>
      <c r="QFY36" s="707"/>
      <c r="QFZ36" s="707"/>
      <c r="QGA36" s="707"/>
      <c r="QGB36" s="707"/>
      <c r="QGC36" s="707"/>
      <c r="QGD36" s="707"/>
      <c r="QGE36" s="707"/>
      <c r="QGF36" s="707"/>
      <c r="QGG36" s="707"/>
      <c r="QGH36" s="707"/>
      <c r="QGI36" s="707"/>
      <c r="QGJ36" s="707"/>
      <c r="QGK36" s="707"/>
      <c r="QGL36" s="707"/>
      <c r="QGM36" s="707"/>
      <c r="QGN36" s="707"/>
      <c r="QGO36" s="707"/>
      <c r="QGP36" s="707"/>
      <c r="QGQ36" s="707"/>
      <c r="QGR36" s="707"/>
      <c r="QGS36" s="707"/>
      <c r="QGT36" s="707"/>
      <c r="QGU36" s="707"/>
      <c r="QGV36" s="707"/>
      <c r="QGW36" s="707"/>
      <c r="QGX36" s="707"/>
      <c r="QGY36" s="707"/>
      <c r="QGZ36" s="707"/>
      <c r="QHA36" s="707"/>
      <c r="QHB36" s="707"/>
      <c r="QHC36" s="707"/>
      <c r="QHD36" s="707"/>
      <c r="QHE36" s="707"/>
      <c r="QHF36" s="707"/>
      <c r="QHG36" s="707"/>
      <c r="QHH36" s="707"/>
      <c r="QHI36" s="707"/>
      <c r="QHJ36" s="707"/>
      <c r="QHK36" s="707"/>
      <c r="QHL36" s="707"/>
      <c r="QHM36" s="707"/>
      <c r="QHN36" s="707"/>
      <c r="QHO36" s="707"/>
      <c r="QHP36" s="707"/>
      <c r="QHQ36" s="707"/>
      <c r="QHR36" s="707"/>
      <c r="QHS36" s="707"/>
      <c r="QHT36" s="707"/>
      <c r="QHU36" s="707"/>
      <c r="QHV36" s="707"/>
      <c r="QHW36" s="707"/>
      <c r="QHX36" s="707"/>
      <c r="QHY36" s="707"/>
      <c r="QHZ36" s="707"/>
      <c r="QIA36" s="707"/>
      <c r="QIB36" s="707"/>
      <c r="QIC36" s="707"/>
      <c r="QID36" s="707"/>
      <c r="QIE36" s="707"/>
      <c r="QIF36" s="707"/>
      <c r="QIG36" s="707"/>
      <c r="QIH36" s="707"/>
      <c r="QII36" s="707"/>
      <c r="QIJ36" s="707"/>
      <c r="QIK36" s="707"/>
      <c r="QIL36" s="707"/>
      <c r="QIM36" s="707"/>
      <c r="QIN36" s="707"/>
      <c r="QIO36" s="707"/>
      <c r="QIP36" s="707"/>
      <c r="QIQ36" s="707"/>
      <c r="QIR36" s="707"/>
      <c r="QIS36" s="707"/>
      <c r="QIT36" s="707"/>
      <c r="QIU36" s="707"/>
      <c r="QIV36" s="707"/>
      <c r="QIW36" s="707"/>
      <c r="QIX36" s="707"/>
      <c r="QIY36" s="707"/>
      <c r="QIZ36" s="707"/>
      <c r="QJA36" s="707"/>
      <c r="QJB36" s="707"/>
      <c r="QJC36" s="707"/>
      <c r="QJD36" s="707"/>
      <c r="QJE36" s="707"/>
      <c r="QJF36" s="707"/>
      <c r="QJG36" s="707"/>
      <c r="QJH36" s="707"/>
      <c r="QJI36" s="707"/>
      <c r="QJJ36" s="707"/>
      <c r="QJK36" s="707"/>
      <c r="QJL36" s="707"/>
      <c r="QJM36" s="707"/>
      <c r="QJN36" s="707"/>
      <c r="QJO36" s="707"/>
      <c r="QJP36" s="707"/>
      <c r="QJQ36" s="707"/>
      <c r="QJR36" s="707"/>
      <c r="QJS36" s="707"/>
      <c r="QJT36" s="707"/>
      <c r="QJU36" s="707"/>
      <c r="QJV36" s="707"/>
      <c r="QJW36" s="707"/>
      <c r="QJX36" s="707"/>
      <c r="QJY36" s="707"/>
      <c r="QJZ36" s="707"/>
      <c r="QKA36" s="707"/>
      <c r="QKB36" s="707"/>
      <c r="QKC36" s="707"/>
      <c r="QKD36" s="707"/>
      <c r="QKE36" s="707"/>
      <c r="QKF36" s="707"/>
      <c r="QKG36" s="707"/>
      <c r="QKH36" s="707"/>
      <c r="QKI36" s="707"/>
      <c r="QKJ36" s="707"/>
      <c r="QKK36" s="707"/>
      <c r="QKL36" s="707"/>
      <c r="QKM36" s="707"/>
      <c r="QKN36" s="707"/>
      <c r="QKO36" s="707"/>
      <c r="QKP36" s="707"/>
      <c r="QKQ36" s="707"/>
      <c r="QKR36" s="707"/>
      <c r="QKS36" s="707"/>
      <c r="QKT36" s="707"/>
      <c r="QKU36" s="707"/>
      <c r="QKV36" s="707"/>
      <c r="QKW36" s="707"/>
      <c r="QKX36" s="707"/>
      <c r="QKY36" s="707"/>
      <c r="QKZ36" s="707"/>
      <c r="QLA36" s="707"/>
      <c r="QLB36" s="707"/>
      <c r="QLC36" s="707"/>
      <c r="QLD36" s="707"/>
      <c r="QLE36" s="707"/>
      <c r="QLF36" s="707"/>
      <c r="QLG36" s="707"/>
      <c r="QLH36" s="707"/>
      <c r="QLI36" s="707"/>
      <c r="QLJ36" s="707"/>
      <c r="QLK36" s="707"/>
      <c r="QLL36" s="707"/>
      <c r="QLM36" s="707"/>
      <c r="QLN36" s="707"/>
      <c r="QLO36" s="707"/>
      <c r="QLP36" s="707"/>
      <c r="QLQ36" s="707"/>
      <c r="QLR36" s="707"/>
      <c r="QLS36" s="707"/>
      <c r="QLT36" s="707"/>
      <c r="QLU36" s="707"/>
      <c r="QLV36" s="707"/>
      <c r="QLW36" s="707"/>
      <c r="QLX36" s="707"/>
      <c r="QLY36" s="707"/>
      <c r="QLZ36" s="707"/>
      <c r="QMA36" s="707"/>
      <c r="QMB36" s="707"/>
      <c r="QMC36" s="707"/>
      <c r="QMD36" s="707"/>
      <c r="QME36" s="707"/>
      <c r="QMF36" s="707"/>
      <c r="QMG36" s="707"/>
      <c r="QMH36" s="707"/>
      <c r="QMI36" s="707"/>
      <c r="QMJ36" s="707"/>
      <c r="QMK36" s="707"/>
      <c r="QML36" s="707"/>
      <c r="QMM36" s="707"/>
      <c r="QMN36" s="707"/>
      <c r="QMO36" s="707"/>
      <c r="QMP36" s="707"/>
      <c r="QMQ36" s="707"/>
      <c r="QMR36" s="707"/>
      <c r="QMS36" s="707"/>
      <c r="QMT36" s="707"/>
      <c r="QMU36" s="707"/>
      <c r="QMV36" s="707"/>
      <c r="QMW36" s="707"/>
      <c r="QMX36" s="707"/>
      <c r="QMY36" s="707"/>
      <c r="QMZ36" s="707"/>
      <c r="QNA36" s="707"/>
      <c r="QNB36" s="707"/>
      <c r="QNC36" s="707"/>
      <c r="QND36" s="707"/>
      <c r="QNE36" s="707"/>
      <c r="QNF36" s="707"/>
      <c r="QNG36" s="707"/>
      <c r="QNH36" s="707"/>
      <c r="QNI36" s="707"/>
      <c r="QNJ36" s="707"/>
      <c r="QNK36" s="707"/>
      <c r="QNL36" s="707"/>
      <c r="QNM36" s="707"/>
      <c r="QNN36" s="707"/>
      <c r="QNO36" s="707"/>
      <c r="QNP36" s="707"/>
      <c r="QNQ36" s="707"/>
      <c r="QNR36" s="707"/>
      <c r="QNS36" s="707"/>
      <c r="QNT36" s="707"/>
      <c r="QNU36" s="707"/>
      <c r="QNV36" s="707"/>
      <c r="QNW36" s="707"/>
      <c r="QNX36" s="707"/>
      <c r="QNY36" s="707"/>
      <c r="QNZ36" s="707"/>
      <c r="QOA36" s="707"/>
      <c r="QOB36" s="707"/>
      <c r="QOC36" s="707"/>
      <c r="QOD36" s="707"/>
      <c r="QOE36" s="707"/>
      <c r="QOF36" s="707"/>
      <c r="QOG36" s="707"/>
      <c r="QOH36" s="707"/>
      <c r="QOI36" s="707"/>
      <c r="QOJ36" s="707"/>
      <c r="QOK36" s="707"/>
      <c r="QOL36" s="707"/>
      <c r="QOM36" s="707"/>
      <c r="QON36" s="707"/>
      <c r="QOO36" s="707"/>
      <c r="QOP36" s="707"/>
      <c r="QOQ36" s="707"/>
      <c r="QOR36" s="707"/>
      <c r="QOS36" s="707"/>
      <c r="QOT36" s="707"/>
      <c r="QOU36" s="707"/>
      <c r="QOV36" s="707"/>
      <c r="QOW36" s="707"/>
      <c r="QOX36" s="707"/>
      <c r="QOY36" s="707"/>
      <c r="QOZ36" s="707"/>
      <c r="QPA36" s="707"/>
      <c r="QPB36" s="707"/>
      <c r="QPC36" s="707"/>
      <c r="QPD36" s="707"/>
      <c r="QPE36" s="707"/>
      <c r="QPF36" s="707"/>
      <c r="QPG36" s="707"/>
      <c r="QPH36" s="707"/>
      <c r="QPI36" s="707"/>
      <c r="QPJ36" s="707"/>
      <c r="QPK36" s="707"/>
      <c r="QPL36" s="707"/>
      <c r="QPM36" s="707"/>
      <c r="QPN36" s="707"/>
      <c r="QPO36" s="707"/>
      <c r="QPP36" s="707"/>
      <c r="QPQ36" s="707"/>
      <c r="QPR36" s="707"/>
      <c r="QPS36" s="707"/>
      <c r="QPT36" s="707"/>
      <c r="QPU36" s="707"/>
      <c r="QPV36" s="707"/>
      <c r="QPW36" s="707"/>
      <c r="QPX36" s="707"/>
      <c r="QPY36" s="707"/>
      <c r="QPZ36" s="707"/>
      <c r="QQA36" s="707"/>
      <c r="QQB36" s="707"/>
      <c r="QQC36" s="707"/>
      <c r="QQD36" s="707"/>
      <c r="QQE36" s="707"/>
      <c r="QQF36" s="707"/>
      <c r="QQG36" s="707"/>
      <c r="QQH36" s="707"/>
      <c r="QQI36" s="707"/>
      <c r="QQJ36" s="707"/>
      <c r="QQK36" s="707"/>
      <c r="QQL36" s="707"/>
      <c r="QQM36" s="707"/>
      <c r="QQN36" s="707"/>
      <c r="QQO36" s="707"/>
      <c r="QQP36" s="707"/>
      <c r="QQQ36" s="707"/>
      <c r="QQR36" s="707"/>
      <c r="QQS36" s="707"/>
      <c r="QQT36" s="707"/>
      <c r="QQU36" s="707"/>
      <c r="QQV36" s="707"/>
      <c r="QQW36" s="707"/>
      <c r="QQX36" s="707"/>
      <c r="QQY36" s="707"/>
      <c r="QQZ36" s="707"/>
      <c r="QRA36" s="707"/>
      <c r="QRB36" s="707"/>
      <c r="QRC36" s="707"/>
      <c r="QRD36" s="707"/>
      <c r="QRE36" s="707"/>
      <c r="QRF36" s="707"/>
      <c r="QRG36" s="707"/>
      <c r="QRH36" s="707"/>
      <c r="QRI36" s="707"/>
      <c r="QRJ36" s="707"/>
      <c r="QRK36" s="707"/>
      <c r="QRL36" s="707"/>
      <c r="QRM36" s="707"/>
      <c r="QRN36" s="707"/>
      <c r="QRO36" s="707"/>
      <c r="QRP36" s="707"/>
      <c r="QRQ36" s="707"/>
      <c r="QRR36" s="707"/>
      <c r="QRS36" s="707"/>
      <c r="QRT36" s="707"/>
      <c r="QRU36" s="707"/>
      <c r="QRV36" s="707"/>
      <c r="QRW36" s="707"/>
      <c r="QRX36" s="707"/>
      <c r="QRY36" s="707"/>
      <c r="QRZ36" s="707"/>
      <c r="QSA36" s="707"/>
      <c r="QSB36" s="707"/>
      <c r="QSC36" s="707"/>
      <c r="QSD36" s="707"/>
      <c r="QSE36" s="707"/>
      <c r="QSF36" s="707"/>
      <c r="QSG36" s="707"/>
      <c r="QSH36" s="707"/>
      <c r="QSI36" s="707"/>
      <c r="QSJ36" s="707"/>
      <c r="QSK36" s="707"/>
      <c r="QSL36" s="707"/>
      <c r="QSM36" s="707"/>
      <c r="QSN36" s="707"/>
      <c r="QSO36" s="707"/>
      <c r="QSP36" s="707"/>
      <c r="QSQ36" s="707"/>
      <c r="QSR36" s="707"/>
      <c r="QSS36" s="707"/>
      <c r="QST36" s="707"/>
      <c r="QSU36" s="707"/>
      <c r="QSV36" s="707"/>
      <c r="QSW36" s="707"/>
      <c r="QSX36" s="707"/>
      <c r="QSY36" s="707"/>
      <c r="QSZ36" s="707"/>
      <c r="QTA36" s="707"/>
      <c r="QTB36" s="707"/>
      <c r="QTC36" s="707"/>
      <c r="QTD36" s="707"/>
      <c r="QTE36" s="707"/>
      <c r="QTF36" s="707"/>
      <c r="QTG36" s="707"/>
      <c r="QTH36" s="707"/>
      <c r="QTI36" s="707"/>
      <c r="QTJ36" s="707"/>
      <c r="QTK36" s="707"/>
      <c r="QTL36" s="707"/>
      <c r="QTM36" s="707"/>
      <c r="QTN36" s="707"/>
      <c r="QTO36" s="707"/>
      <c r="QTP36" s="707"/>
      <c r="QTQ36" s="707"/>
      <c r="QTR36" s="707"/>
      <c r="QTS36" s="707"/>
      <c r="QTT36" s="707"/>
      <c r="QTU36" s="707"/>
      <c r="QTV36" s="707"/>
      <c r="QTW36" s="707"/>
      <c r="QTX36" s="707"/>
      <c r="QTY36" s="707"/>
      <c r="QTZ36" s="707"/>
      <c r="QUA36" s="707"/>
      <c r="QUB36" s="707"/>
      <c r="QUC36" s="707"/>
      <c r="QUD36" s="707"/>
      <c r="QUE36" s="707"/>
      <c r="QUF36" s="707"/>
      <c r="QUG36" s="707"/>
      <c r="QUH36" s="707"/>
      <c r="QUI36" s="707"/>
      <c r="QUJ36" s="707"/>
      <c r="QUK36" s="707"/>
      <c r="QUL36" s="707"/>
      <c r="QUM36" s="707"/>
      <c r="QUN36" s="707"/>
      <c r="QUO36" s="707"/>
      <c r="QUP36" s="707"/>
      <c r="QUQ36" s="707"/>
      <c r="QUR36" s="707"/>
      <c r="QUS36" s="707"/>
      <c r="QUT36" s="707"/>
      <c r="QUU36" s="707"/>
      <c r="QUV36" s="707"/>
      <c r="QUW36" s="707"/>
      <c r="QUX36" s="707"/>
      <c r="QUY36" s="707"/>
      <c r="QUZ36" s="707"/>
      <c r="QVA36" s="707"/>
      <c r="QVB36" s="707"/>
      <c r="QVC36" s="707"/>
      <c r="QVD36" s="707"/>
      <c r="QVE36" s="707"/>
      <c r="QVF36" s="707"/>
      <c r="QVG36" s="707"/>
      <c r="QVH36" s="707"/>
      <c r="QVI36" s="707"/>
      <c r="QVJ36" s="707"/>
      <c r="QVK36" s="707"/>
      <c r="QVL36" s="707"/>
      <c r="QVM36" s="707"/>
      <c r="QVN36" s="707"/>
      <c r="QVO36" s="707"/>
      <c r="QVP36" s="707"/>
      <c r="QVQ36" s="707"/>
      <c r="QVR36" s="707"/>
      <c r="QVS36" s="707"/>
      <c r="QVT36" s="707"/>
      <c r="QVU36" s="707"/>
      <c r="QVV36" s="707"/>
      <c r="QVW36" s="707"/>
      <c r="QVX36" s="707"/>
      <c r="QVY36" s="707"/>
      <c r="QVZ36" s="707"/>
      <c r="QWA36" s="707"/>
      <c r="QWB36" s="707"/>
      <c r="QWC36" s="707"/>
      <c r="QWD36" s="707"/>
      <c r="QWE36" s="707"/>
      <c r="QWF36" s="707"/>
      <c r="QWG36" s="707"/>
      <c r="QWH36" s="707"/>
      <c r="QWI36" s="707"/>
      <c r="QWJ36" s="707"/>
      <c r="QWK36" s="707"/>
      <c r="QWL36" s="707"/>
      <c r="QWM36" s="707"/>
      <c r="QWN36" s="707"/>
      <c r="QWO36" s="707"/>
      <c r="QWP36" s="707"/>
      <c r="QWQ36" s="707"/>
      <c r="QWR36" s="707"/>
      <c r="QWS36" s="707"/>
      <c r="QWT36" s="707"/>
      <c r="QWU36" s="707"/>
      <c r="QWV36" s="707"/>
      <c r="QWW36" s="707"/>
      <c r="QWX36" s="707"/>
      <c r="QWY36" s="707"/>
      <c r="QWZ36" s="707"/>
      <c r="QXA36" s="707"/>
      <c r="QXB36" s="707"/>
      <c r="QXC36" s="707"/>
      <c r="QXD36" s="707"/>
      <c r="QXE36" s="707"/>
      <c r="QXF36" s="707"/>
      <c r="QXG36" s="707"/>
      <c r="QXH36" s="707"/>
      <c r="QXI36" s="707"/>
      <c r="QXJ36" s="707"/>
      <c r="QXK36" s="707"/>
      <c r="QXL36" s="707"/>
      <c r="QXM36" s="707"/>
      <c r="QXN36" s="707"/>
      <c r="QXO36" s="707"/>
      <c r="QXP36" s="707"/>
      <c r="QXQ36" s="707"/>
      <c r="QXR36" s="707"/>
      <c r="QXS36" s="707"/>
      <c r="QXT36" s="707"/>
      <c r="QXU36" s="707"/>
      <c r="QXV36" s="707"/>
      <c r="QXW36" s="707"/>
      <c r="QXX36" s="707"/>
      <c r="QXY36" s="707"/>
      <c r="QXZ36" s="707"/>
      <c r="QYA36" s="707"/>
      <c r="QYB36" s="707"/>
      <c r="QYC36" s="707"/>
      <c r="QYD36" s="707"/>
      <c r="QYE36" s="707"/>
      <c r="QYF36" s="707"/>
      <c r="QYG36" s="707"/>
      <c r="QYH36" s="707"/>
      <c r="QYI36" s="707"/>
      <c r="QYJ36" s="707"/>
      <c r="QYK36" s="707"/>
      <c r="QYL36" s="707"/>
      <c r="QYM36" s="707"/>
      <c r="QYN36" s="707"/>
      <c r="QYO36" s="707"/>
      <c r="QYP36" s="707"/>
      <c r="QYQ36" s="707"/>
      <c r="QYR36" s="707"/>
      <c r="QYS36" s="707"/>
      <c r="QYT36" s="707"/>
      <c r="QYU36" s="707"/>
      <c r="QYV36" s="707"/>
      <c r="QYW36" s="707"/>
      <c r="QYX36" s="707"/>
      <c r="QYY36" s="707"/>
      <c r="QYZ36" s="707"/>
      <c r="QZA36" s="707"/>
      <c r="QZB36" s="707"/>
      <c r="QZC36" s="707"/>
      <c r="QZD36" s="707"/>
      <c r="QZE36" s="707"/>
      <c r="QZF36" s="707"/>
      <c r="QZG36" s="707"/>
      <c r="QZH36" s="707"/>
      <c r="QZI36" s="707"/>
      <c r="QZJ36" s="707"/>
      <c r="QZK36" s="707"/>
      <c r="QZL36" s="707"/>
      <c r="QZM36" s="707"/>
      <c r="QZN36" s="707"/>
      <c r="QZO36" s="707"/>
      <c r="QZP36" s="707"/>
      <c r="QZQ36" s="707"/>
      <c r="QZR36" s="707"/>
      <c r="QZS36" s="707"/>
      <c r="QZT36" s="707"/>
      <c r="QZU36" s="707"/>
      <c r="QZV36" s="707"/>
      <c r="QZW36" s="707"/>
      <c r="QZX36" s="707"/>
      <c r="QZY36" s="707"/>
      <c r="QZZ36" s="707"/>
      <c r="RAA36" s="707"/>
      <c r="RAB36" s="707"/>
      <c r="RAC36" s="707"/>
      <c r="RAD36" s="707"/>
      <c r="RAE36" s="707"/>
      <c r="RAF36" s="707"/>
      <c r="RAG36" s="707"/>
      <c r="RAH36" s="707"/>
      <c r="RAI36" s="707"/>
      <c r="RAJ36" s="707"/>
      <c r="RAK36" s="707"/>
      <c r="RAL36" s="707"/>
      <c r="RAM36" s="707"/>
      <c r="RAN36" s="707"/>
      <c r="RAO36" s="707"/>
      <c r="RAP36" s="707"/>
      <c r="RAQ36" s="707"/>
      <c r="RAR36" s="707"/>
      <c r="RAS36" s="707"/>
      <c r="RAT36" s="707"/>
      <c r="RAU36" s="707"/>
      <c r="RAV36" s="707"/>
      <c r="RAW36" s="707"/>
      <c r="RAX36" s="707"/>
      <c r="RAY36" s="707"/>
      <c r="RAZ36" s="707"/>
      <c r="RBA36" s="707"/>
      <c r="RBB36" s="707"/>
      <c r="RBC36" s="707"/>
      <c r="RBD36" s="707"/>
      <c r="RBE36" s="707"/>
      <c r="RBF36" s="707"/>
      <c r="RBG36" s="707"/>
      <c r="RBH36" s="707"/>
      <c r="RBI36" s="707"/>
      <c r="RBJ36" s="707"/>
      <c r="RBK36" s="707"/>
      <c r="RBL36" s="707"/>
      <c r="RBM36" s="707"/>
      <c r="RBN36" s="707"/>
      <c r="RBO36" s="707"/>
      <c r="RBP36" s="707"/>
      <c r="RBQ36" s="707"/>
      <c r="RBR36" s="707"/>
      <c r="RBS36" s="707"/>
      <c r="RBT36" s="707"/>
      <c r="RBU36" s="707"/>
      <c r="RBV36" s="707"/>
      <c r="RBW36" s="707"/>
      <c r="RBX36" s="707"/>
      <c r="RBY36" s="707"/>
      <c r="RBZ36" s="707"/>
      <c r="RCA36" s="707"/>
      <c r="RCB36" s="707"/>
      <c r="RCC36" s="707"/>
      <c r="RCD36" s="707"/>
      <c r="RCE36" s="707"/>
      <c r="RCF36" s="707"/>
      <c r="RCG36" s="707"/>
      <c r="RCH36" s="707"/>
      <c r="RCI36" s="707"/>
      <c r="RCJ36" s="707"/>
      <c r="RCK36" s="707"/>
      <c r="RCL36" s="707"/>
      <c r="RCM36" s="707"/>
      <c r="RCN36" s="707"/>
      <c r="RCO36" s="707"/>
      <c r="RCP36" s="707"/>
      <c r="RCQ36" s="707"/>
      <c r="RCR36" s="707"/>
      <c r="RCS36" s="707"/>
      <c r="RCT36" s="707"/>
      <c r="RCU36" s="707"/>
      <c r="RCV36" s="707"/>
      <c r="RCW36" s="707"/>
      <c r="RCX36" s="707"/>
      <c r="RCY36" s="707"/>
      <c r="RCZ36" s="707"/>
      <c r="RDA36" s="707"/>
      <c r="RDB36" s="707"/>
      <c r="RDC36" s="707"/>
      <c r="RDD36" s="707"/>
      <c r="RDE36" s="707"/>
      <c r="RDF36" s="707"/>
      <c r="RDG36" s="707"/>
      <c r="RDH36" s="707"/>
      <c r="RDI36" s="707"/>
      <c r="RDJ36" s="707"/>
      <c r="RDK36" s="707"/>
      <c r="RDL36" s="707"/>
      <c r="RDM36" s="707"/>
      <c r="RDN36" s="707"/>
      <c r="RDO36" s="707"/>
      <c r="RDP36" s="707"/>
      <c r="RDQ36" s="707"/>
      <c r="RDR36" s="707"/>
      <c r="RDS36" s="707"/>
      <c r="RDT36" s="707"/>
      <c r="RDU36" s="707"/>
      <c r="RDV36" s="707"/>
      <c r="RDW36" s="707"/>
      <c r="RDX36" s="707"/>
      <c r="RDY36" s="707"/>
      <c r="RDZ36" s="707"/>
      <c r="REA36" s="707"/>
      <c r="REB36" s="707"/>
      <c r="REC36" s="707"/>
      <c r="RED36" s="707"/>
      <c r="REE36" s="707"/>
      <c r="REF36" s="707"/>
      <c r="REG36" s="707"/>
      <c r="REH36" s="707"/>
      <c r="REI36" s="707"/>
      <c r="REJ36" s="707"/>
      <c r="REK36" s="707"/>
      <c r="REL36" s="707"/>
      <c r="REM36" s="707"/>
      <c r="REN36" s="707"/>
      <c r="REO36" s="707"/>
      <c r="REP36" s="707"/>
      <c r="REQ36" s="707"/>
      <c r="RER36" s="707"/>
      <c r="RES36" s="707"/>
      <c r="RET36" s="707"/>
      <c r="REU36" s="707"/>
      <c r="REV36" s="707"/>
      <c r="REW36" s="707"/>
      <c r="REX36" s="707"/>
      <c r="REY36" s="707"/>
      <c r="REZ36" s="707"/>
      <c r="RFA36" s="707"/>
      <c r="RFB36" s="707"/>
      <c r="RFC36" s="707"/>
      <c r="RFD36" s="707"/>
      <c r="RFE36" s="707"/>
      <c r="RFF36" s="707"/>
      <c r="RFG36" s="707"/>
      <c r="RFH36" s="707"/>
      <c r="RFI36" s="707"/>
      <c r="RFJ36" s="707"/>
      <c r="RFK36" s="707"/>
      <c r="RFL36" s="707"/>
      <c r="RFM36" s="707"/>
      <c r="RFN36" s="707"/>
      <c r="RFO36" s="707"/>
      <c r="RFP36" s="707"/>
      <c r="RFQ36" s="707"/>
      <c r="RFR36" s="707"/>
      <c r="RFS36" s="707"/>
      <c r="RFT36" s="707"/>
      <c r="RFU36" s="707"/>
      <c r="RFV36" s="707"/>
      <c r="RFW36" s="707"/>
      <c r="RFX36" s="707"/>
      <c r="RFY36" s="707"/>
      <c r="RFZ36" s="707"/>
      <c r="RGA36" s="707"/>
      <c r="RGB36" s="707"/>
      <c r="RGC36" s="707"/>
      <c r="RGD36" s="707"/>
      <c r="RGE36" s="707"/>
      <c r="RGF36" s="707"/>
      <c r="RGG36" s="707"/>
      <c r="RGH36" s="707"/>
      <c r="RGI36" s="707"/>
      <c r="RGJ36" s="707"/>
      <c r="RGK36" s="707"/>
      <c r="RGL36" s="707"/>
      <c r="RGM36" s="707"/>
      <c r="RGN36" s="707"/>
      <c r="RGO36" s="707"/>
      <c r="RGP36" s="707"/>
      <c r="RGQ36" s="707"/>
      <c r="RGR36" s="707"/>
      <c r="RGS36" s="707"/>
      <c r="RGT36" s="707"/>
      <c r="RGU36" s="707"/>
      <c r="RGV36" s="707"/>
      <c r="RGW36" s="707"/>
      <c r="RGX36" s="707"/>
      <c r="RGY36" s="707"/>
      <c r="RGZ36" s="707"/>
      <c r="RHA36" s="707"/>
      <c r="RHB36" s="707"/>
      <c r="RHC36" s="707"/>
      <c r="RHD36" s="707"/>
      <c r="RHE36" s="707"/>
      <c r="RHF36" s="707"/>
      <c r="RHG36" s="707"/>
      <c r="RHH36" s="707"/>
      <c r="RHI36" s="707"/>
      <c r="RHJ36" s="707"/>
      <c r="RHK36" s="707"/>
      <c r="RHL36" s="707"/>
      <c r="RHM36" s="707"/>
      <c r="RHN36" s="707"/>
      <c r="RHO36" s="707"/>
      <c r="RHP36" s="707"/>
      <c r="RHQ36" s="707"/>
      <c r="RHR36" s="707"/>
      <c r="RHS36" s="707"/>
      <c r="RHT36" s="707"/>
      <c r="RHU36" s="707"/>
      <c r="RHV36" s="707"/>
      <c r="RHW36" s="707"/>
      <c r="RHX36" s="707"/>
      <c r="RHY36" s="707"/>
      <c r="RHZ36" s="707"/>
      <c r="RIA36" s="707"/>
      <c r="RIB36" s="707"/>
      <c r="RIC36" s="707"/>
      <c r="RID36" s="707"/>
      <c r="RIE36" s="707"/>
      <c r="RIF36" s="707"/>
      <c r="RIG36" s="707"/>
      <c r="RIH36" s="707"/>
      <c r="RII36" s="707"/>
      <c r="RIJ36" s="707"/>
      <c r="RIK36" s="707"/>
      <c r="RIL36" s="707"/>
      <c r="RIM36" s="707"/>
      <c r="RIN36" s="707"/>
      <c r="RIO36" s="707"/>
      <c r="RIP36" s="707"/>
      <c r="RIQ36" s="707"/>
      <c r="RIR36" s="707"/>
      <c r="RIS36" s="707"/>
      <c r="RIT36" s="707"/>
      <c r="RIU36" s="707"/>
      <c r="RIV36" s="707"/>
      <c r="RIW36" s="707"/>
      <c r="RIX36" s="707"/>
      <c r="RIY36" s="707"/>
      <c r="RIZ36" s="707"/>
      <c r="RJA36" s="707"/>
      <c r="RJB36" s="707"/>
      <c r="RJC36" s="707"/>
      <c r="RJD36" s="707"/>
      <c r="RJE36" s="707"/>
      <c r="RJF36" s="707"/>
      <c r="RJG36" s="707"/>
      <c r="RJH36" s="707"/>
      <c r="RJI36" s="707"/>
      <c r="RJJ36" s="707"/>
      <c r="RJK36" s="707"/>
      <c r="RJL36" s="707"/>
      <c r="RJM36" s="707"/>
      <c r="RJN36" s="707"/>
      <c r="RJO36" s="707"/>
      <c r="RJP36" s="707"/>
      <c r="RJQ36" s="707"/>
      <c r="RJR36" s="707"/>
      <c r="RJS36" s="707"/>
      <c r="RJT36" s="707"/>
      <c r="RJU36" s="707"/>
      <c r="RJV36" s="707"/>
      <c r="RJW36" s="707"/>
      <c r="RJX36" s="707"/>
      <c r="RJY36" s="707"/>
      <c r="RJZ36" s="707"/>
      <c r="RKA36" s="707"/>
      <c r="RKB36" s="707"/>
      <c r="RKC36" s="707"/>
      <c r="RKD36" s="707"/>
      <c r="RKE36" s="707"/>
      <c r="RKF36" s="707"/>
      <c r="RKG36" s="707"/>
      <c r="RKH36" s="707"/>
      <c r="RKI36" s="707"/>
      <c r="RKJ36" s="707"/>
      <c r="RKK36" s="707"/>
      <c r="RKL36" s="707"/>
      <c r="RKM36" s="707"/>
      <c r="RKN36" s="707"/>
      <c r="RKO36" s="707"/>
      <c r="RKP36" s="707"/>
      <c r="RKQ36" s="707"/>
      <c r="RKR36" s="707"/>
      <c r="RKS36" s="707"/>
      <c r="RKT36" s="707"/>
      <c r="RKU36" s="707"/>
      <c r="RKV36" s="707"/>
      <c r="RKW36" s="707"/>
      <c r="RKX36" s="707"/>
      <c r="RKY36" s="707"/>
      <c r="RKZ36" s="707"/>
      <c r="RLA36" s="707"/>
      <c r="RLB36" s="707"/>
      <c r="RLC36" s="707"/>
      <c r="RLD36" s="707"/>
      <c r="RLE36" s="707"/>
      <c r="RLF36" s="707"/>
      <c r="RLG36" s="707"/>
      <c r="RLH36" s="707"/>
      <c r="RLI36" s="707"/>
      <c r="RLJ36" s="707"/>
      <c r="RLK36" s="707"/>
      <c r="RLL36" s="707"/>
      <c r="RLM36" s="707"/>
      <c r="RLN36" s="707"/>
      <c r="RLO36" s="707"/>
      <c r="RLP36" s="707"/>
      <c r="RLQ36" s="707"/>
      <c r="RLR36" s="707"/>
      <c r="RLS36" s="707"/>
      <c r="RLT36" s="707"/>
      <c r="RLU36" s="707"/>
      <c r="RLV36" s="707"/>
      <c r="RLW36" s="707"/>
      <c r="RLX36" s="707"/>
      <c r="RLY36" s="707"/>
      <c r="RLZ36" s="707"/>
      <c r="RMA36" s="707"/>
      <c r="RMB36" s="707"/>
      <c r="RMC36" s="707"/>
      <c r="RMD36" s="707"/>
      <c r="RME36" s="707"/>
      <c r="RMF36" s="707"/>
      <c r="RMG36" s="707"/>
      <c r="RMH36" s="707"/>
      <c r="RMI36" s="707"/>
      <c r="RMJ36" s="707"/>
      <c r="RMK36" s="707"/>
      <c r="RML36" s="707"/>
      <c r="RMM36" s="707"/>
      <c r="RMN36" s="707"/>
      <c r="RMO36" s="707"/>
      <c r="RMP36" s="707"/>
      <c r="RMQ36" s="707"/>
      <c r="RMR36" s="707"/>
      <c r="RMS36" s="707"/>
      <c r="RMT36" s="707"/>
      <c r="RMU36" s="707"/>
      <c r="RMV36" s="707"/>
      <c r="RMW36" s="707"/>
      <c r="RMX36" s="707"/>
      <c r="RMY36" s="707"/>
      <c r="RMZ36" s="707"/>
      <c r="RNA36" s="707"/>
      <c r="RNB36" s="707"/>
      <c r="RNC36" s="707"/>
      <c r="RND36" s="707"/>
      <c r="RNE36" s="707"/>
      <c r="RNF36" s="707"/>
      <c r="RNG36" s="707"/>
      <c r="RNH36" s="707"/>
      <c r="RNI36" s="707"/>
      <c r="RNJ36" s="707"/>
      <c r="RNK36" s="707"/>
      <c r="RNL36" s="707"/>
      <c r="RNM36" s="707"/>
      <c r="RNN36" s="707"/>
      <c r="RNO36" s="707"/>
      <c r="RNP36" s="707"/>
      <c r="RNQ36" s="707"/>
      <c r="RNR36" s="707"/>
      <c r="RNS36" s="707"/>
      <c r="RNT36" s="707"/>
      <c r="RNU36" s="707"/>
      <c r="RNV36" s="707"/>
      <c r="RNW36" s="707"/>
      <c r="RNX36" s="707"/>
      <c r="RNY36" s="707"/>
      <c r="RNZ36" s="707"/>
      <c r="ROA36" s="707"/>
      <c r="ROB36" s="707"/>
      <c r="ROC36" s="707"/>
      <c r="ROD36" s="707"/>
      <c r="ROE36" s="707"/>
      <c r="ROF36" s="707"/>
      <c r="ROG36" s="707"/>
      <c r="ROH36" s="707"/>
      <c r="ROI36" s="707"/>
      <c r="ROJ36" s="707"/>
      <c r="ROK36" s="707"/>
      <c r="ROL36" s="707"/>
      <c r="ROM36" s="707"/>
      <c r="RON36" s="707"/>
      <c r="ROO36" s="707"/>
      <c r="ROP36" s="707"/>
      <c r="ROQ36" s="707"/>
      <c r="ROR36" s="707"/>
      <c r="ROS36" s="707"/>
      <c r="ROT36" s="707"/>
      <c r="ROU36" s="707"/>
      <c r="ROV36" s="707"/>
      <c r="ROW36" s="707"/>
      <c r="ROX36" s="707"/>
      <c r="ROY36" s="707"/>
      <c r="ROZ36" s="707"/>
      <c r="RPA36" s="707"/>
      <c r="RPB36" s="707"/>
      <c r="RPC36" s="707"/>
      <c r="RPD36" s="707"/>
      <c r="RPE36" s="707"/>
      <c r="RPF36" s="707"/>
      <c r="RPG36" s="707"/>
      <c r="RPH36" s="707"/>
      <c r="RPI36" s="707"/>
      <c r="RPJ36" s="707"/>
      <c r="RPK36" s="707"/>
      <c r="RPL36" s="707"/>
      <c r="RPM36" s="707"/>
      <c r="RPN36" s="707"/>
      <c r="RPO36" s="707"/>
      <c r="RPP36" s="707"/>
      <c r="RPQ36" s="707"/>
      <c r="RPR36" s="707"/>
      <c r="RPS36" s="707"/>
      <c r="RPT36" s="707"/>
      <c r="RPU36" s="707"/>
      <c r="RPV36" s="707"/>
      <c r="RPW36" s="707"/>
      <c r="RPX36" s="707"/>
      <c r="RPY36" s="707"/>
      <c r="RPZ36" s="707"/>
      <c r="RQA36" s="707"/>
      <c r="RQB36" s="707"/>
      <c r="RQC36" s="707"/>
      <c r="RQD36" s="707"/>
      <c r="RQE36" s="707"/>
      <c r="RQF36" s="707"/>
      <c r="RQG36" s="707"/>
      <c r="RQH36" s="707"/>
      <c r="RQI36" s="707"/>
      <c r="RQJ36" s="707"/>
      <c r="RQK36" s="707"/>
      <c r="RQL36" s="707"/>
      <c r="RQM36" s="707"/>
      <c r="RQN36" s="707"/>
      <c r="RQO36" s="707"/>
      <c r="RQP36" s="707"/>
      <c r="RQQ36" s="707"/>
      <c r="RQR36" s="707"/>
      <c r="RQS36" s="707"/>
      <c r="RQT36" s="707"/>
      <c r="RQU36" s="707"/>
      <c r="RQV36" s="707"/>
      <c r="RQW36" s="707"/>
      <c r="RQX36" s="707"/>
      <c r="RQY36" s="707"/>
      <c r="RQZ36" s="707"/>
      <c r="RRA36" s="707"/>
      <c r="RRB36" s="707"/>
      <c r="RRC36" s="707"/>
      <c r="RRD36" s="707"/>
      <c r="RRE36" s="707"/>
      <c r="RRF36" s="707"/>
      <c r="RRG36" s="707"/>
      <c r="RRH36" s="707"/>
      <c r="RRI36" s="707"/>
      <c r="RRJ36" s="707"/>
      <c r="RRK36" s="707"/>
      <c r="RRL36" s="707"/>
      <c r="RRM36" s="707"/>
      <c r="RRN36" s="707"/>
      <c r="RRO36" s="707"/>
      <c r="RRP36" s="707"/>
      <c r="RRQ36" s="707"/>
      <c r="RRR36" s="707"/>
      <c r="RRS36" s="707"/>
      <c r="RRT36" s="707"/>
      <c r="RRU36" s="707"/>
      <c r="RRV36" s="707"/>
      <c r="RRW36" s="707"/>
      <c r="RRX36" s="707"/>
      <c r="RRY36" s="707"/>
      <c r="RRZ36" s="707"/>
      <c r="RSA36" s="707"/>
      <c r="RSB36" s="707"/>
      <c r="RSC36" s="707"/>
      <c r="RSD36" s="707"/>
      <c r="RSE36" s="707"/>
      <c r="RSF36" s="707"/>
      <c r="RSG36" s="707"/>
      <c r="RSH36" s="707"/>
      <c r="RSI36" s="707"/>
      <c r="RSJ36" s="707"/>
      <c r="RSK36" s="707"/>
      <c r="RSL36" s="707"/>
      <c r="RSM36" s="707"/>
      <c r="RSN36" s="707"/>
      <c r="RSO36" s="707"/>
      <c r="RSP36" s="707"/>
      <c r="RSQ36" s="707"/>
      <c r="RSR36" s="707"/>
      <c r="RSS36" s="707"/>
      <c r="RST36" s="707"/>
      <c r="RSU36" s="707"/>
      <c r="RSV36" s="707"/>
      <c r="RSW36" s="707"/>
      <c r="RSX36" s="707"/>
      <c r="RSY36" s="707"/>
      <c r="RSZ36" s="707"/>
      <c r="RTA36" s="707"/>
      <c r="RTB36" s="707"/>
      <c r="RTC36" s="707"/>
      <c r="RTD36" s="707"/>
      <c r="RTE36" s="707"/>
      <c r="RTF36" s="707"/>
      <c r="RTG36" s="707"/>
      <c r="RTH36" s="707"/>
      <c r="RTI36" s="707"/>
      <c r="RTJ36" s="707"/>
      <c r="RTK36" s="707"/>
      <c r="RTL36" s="707"/>
      <c r="RTM36" s="707"/>
      <c r="RTN36" s="707"/>
      <c r="RTO36" s="707"/>
      <c r="RTP36" s="707"/>
      <c r="RTQ36" s="707"/>
      <c r="RTR36" s="707"/>
      <c r="RTS36" s="707"/>
      <c r="RTT36" s="707"/>
      <c r="RTU36" s="707"/>
      <c r="RTV36" s="707"/>
      <c r="RTW36" s="707"/>
      <c r="RTX36" s="707"/>
      <c r="RTY36" s="707"/>
      <c r="RTZ36" s="707"/>
      <c r="RUA36" s="707"/>
      <c r="RUB36" s="707"/>
      <c r="RUC36" s="707"/>
      <c r="RUD36" s="707"/>
      <c r="RUE36" s="707"/>
      <c r="RUF36" s="707"/>
      <c r="RUG36" s="707"/>
      <c r="RUH36" s="707"/>
      <c r="RUI36" s="707"/>
      <c r="RUJ36" s="707"/>
      <c r="RUK36" s="707"/>
      <c r="RUL36" s="707"/>
      <c r="RUM36" s="707"/>
      <c r="RUN36" s="707"/>
      <c r="RUO36" s="707"/>
      <c r="RUP36" s="707"/>
      <c r="RUQ36" s="707"/>
      <c r="RUR36" s="707"/>
      <c r="RUS36" s="707"/>
      <c r="RUT36" s="707"/>
      <c r="RUU36" s="707"/>
      <c r="RUV36" s="707"/>
      <c r="RUW36" s="707"/>
      <c r="RUX36" s="707"/>
      <c r="RUY36" s="707"/>
      <c r="RUZ36" s="707"/>
      <c r="RVA36" s="707"/>
      <c r="RVB36" s="707"/>
      <c r="RVC36" s="707"/>
      <c r="RVD36" s="707"/>
      <c r="RVE36" s="707"/>
      <c r="RVF36" s="707"/>
      <c r="RVG36" s="707"/>
      <c r="RVH36" s="707"/>
      <c r="RVI36" s="707"/>
      <c r="RVJ36" s="707"/>
      <c r="RVK36" s="707"/>
      <c r="RVL36" s="707"/>
      <c r="RVM36" s="707"/>
      <c r="RVN36" s="707"/>
      <c r="RVO36" s="707"/>
      <c r="RVP36" s="707"/>
      <c r="RVQ36" s="707"/>
      <c r="RVR36" s="707"/>
      <c r="RVS36" s="707"/>
      <c r="RVT36" s="707"/>
      <c r="RVU36" s="707"/>
      <c r="RVV36" s="707"/>
      <c r="RVW36" s="707"/>
      <c r="RVX36" s="707"/>
      <c r="RVY36" s="707"/>
      <c r="RVZ36" s="707"/>
      <c r="RWA36" s="707"/>
      <c r="RWB36" s="707"/>
      <c r="RWC36" s="707"/>
      <c r="RWD36" s="707"/>
      <c r="RWE36" s="707"/>
      <c r="RWF36" s="707"/>
      <c r="RWG36" s="707"/>
      <c r="RWH36" s="707"/>
      <c r="RWI36" s="707"/>
      <c r="RWJ36" s="707"/>
      <c r="RWK36" s="707"/>
      <c r="RWL36" s="707"/>
      <c r="RWM36" s="707"/>
      <c r="RWN36" s="707"/>
      <c r="RWO36" s="707"/>
      <c r="RWP36" s="707"/>
      <c r="RWQ36" s="707"/>
      <c r="RWR36" s="707"/>
      <c r="RWS36" s="707"/>
      <c r="RWT36" s="707"/>
      <c r="RWU36" s="707"/>
      <c r="RWV36" s="707"/>
      <c r="RWW36" s="707"/>
      <c r="RWX36" s="707"/>
      <c r="RWY36" s="707"/>
      <c r="RWZ36" s="707"/>
      <c r="RXA36" s="707"/>
      <c r="RXB36" s="707"/>
      <c r="RXC36" s="707"/>
      <c r="RXD36" s="707"/>
      <c r="RXE36" s="707"/>
      <c r="RXF36" s="707"/>
      <c r="RXG36" s="707"/>
      <c r="RXH36" s="707"/>
      <c r="RXI36" s="707"/>
      <c r="RXJ36" s="707"/>
      <c r="RXK36" s="707"/>
      <c r="RXL36" s="707"/>
      <c r="RXM36" s="707"/>
      <c r="RXN36" s="707"/>
      <c r="RXO36" s="707"/>
      <c r="RXP36" s="707"/>
      <c r="RXQ36" s="707"/>
      <c r="RXR36" s="707"/>
      <c r="RXS36" s="707"/>
      <c r="RXT36" s="707"/>
      <c r="RXU36" s="707"/>
      <c r="RXV36" s="707"/>
      <c r="RXW36" s="707"/>
      <c r="RXX36" s="707"/>
      <c r="RXY36" s="707"/>
      <c r="RXZ36" s="707"/>
      <c r="RYA36" s="707"/>
      <c r="RYB36" s="707"/>
      <c r="RYC36" s="707"/>
      <c r="RYD36" s="707"/>
      <c r="RYE36" s="707"/>
      <c r="RYF36" s="707"/>
      <c r="RYG36" s="707"/>
      <c r="RYH36" s="707"/>
      <c r="RYI36" s="707"/>
      <c r="RYJ36" s="707"/>
      <c r="RYK36" s="707"/>
      <c r="RYL36" s="707"/>
      <c r="RYM36" s="707"/>
      <c r="RYN36" s="707"/>
      <c r="RYO36" s="707"/>
      <c r="RYP36" s="707"/>
      <c r="RYQ36" s="707"/>
      <c r="RYR36" s="707"/>
      <c r="RYS36" s="707"/>
      <c r="RYT36" s="707"/>
      <c r="RYU36" s="707"/>
      <c r="RYV36" s="707"/>
      <c r="RYW36" s="707"/>
      <c r="RYX36" s="707"/>
      <c r="RYY36" s="707"/>
      <c r="RYZ36" s="707"/>
      <c r="RZA36" s="707"/>
      <c r="RZB36" s="707"/>
      <c r="RZC36" s="707"/>
      <c r="RZD36" s="707"/>
      <c r="RZE36" s="707"/>
      <c r="RZF36" s="707"/>
      <c r="RZG36" s="707"/>
      <c r="RZH36" s="707"/>
      <c r="RZI36" s="707"/>
      <c r="RZJ36" s="707"/>
      <c r="RZK36" s="707"/>
      <c r="RZL36" s="707"/>
      <c r="RZM36" s="707"/>
      <c r="RZN36" s="707"/>
      <c r="RZO36" s="707"/>
      <c r="RZP36" s="707"/>
      <c r="RZQ36" s="707"/>
      <c r="RZR36" s="707"/>
      <c r="RZS36" s="707"/>
      <c r="RZT36" s="707"/>
      <c r="RZU36" s="707"/>
      <c r="RZV36" s="707"/>
      <c r="RZW36" s="707"/>
      <c r="RZX36" s="707"/>
      <c r="RZY36" s="707"/>
      <c r="RZZ36" s="707"/>
      <c r="SAA36" s="707"/>
      <c r="SAB36" s="707"/>
      <c r="SAC36" s="707"/>
      <c r="SAD36" s="707"/>
      <c r="SAE36" s="707"/>
      <c r="SAF36" s="707"/>
      <c r="SAG36" s="707"/>
      <c r="SAH36" s="707"/>
      <c r="SAI36" s="707"/>
      <c r="SAJ36" s="707"/>
      <c r="SAK36" s="707"/>
      <c r="SAL36" s="707"/>
      <c r="SAM36" s="707"/>
      <c r="SAN36" s="707"/>
      <c r="SAO36" s="707"/>
      <c r="SAP36" s="707"/>
      <c r="SAQ36" s="707"/>
      <c r="SAR36" s="707"/>
      <c r="SAS36" s="707"/>
      <c r="SAT36" s="707"/>
      <c r="SAU36" s="707"/>
      <c r="SAV36" s="707"/>
      <c r="SAW36" s="707"/>
      <c r="SAX36" s="707"/>
      <c r="SAY36" s="707"/>
      <c r="SAZ36" s="707"/>
      <c r="SBA36" s="707"/>
      <c r="SBB36" s="707"/>
      <c r="SBC36" s="707"/>
      <c r="SBD36" s="707"/>
      <c r="SBE36" s="707"/>
      <c r="SBF36" s="707"/>
      <c r="SBG36" s="707"/>
      <c r="SBH36" s="707"/>
      <c r="SBI36" s="707"/>
      <c r="SBJ36" s="707"/>
      <c r="SBK36" s="707"/>
      <c r="SBL36" s="707"/>
      <c r="SBM36" s="707"/>
      <c r="SBN36" s="707"/>
      <c r="SBO36" s="707"/>
      <c r="SBP36" s="707"/>
      <c r="SBQ36" s="707"/>
      <c r="SBR36" s="707"/>
      <c r="SBS36" s="707"/>
      <c r="SBT36" s="707"/>
      <c r="SBU36" s="707"/>
      <c r="SBV36" s="707"/>
      <c r="SBW36" s="707"/>
      <c r="SBX36" s="707"/>
      <c r="SBY36" s="707"/>
      <c r="SBZ36" s="707"/>
      <c r="SCA36" s="707"/>
      <c r="SCB36" s="707"/>
      <c r="SCC36" s="707"/>
      <c r="SCD36" s="707"/>
      <c r="SCE36" s="707"/>
      <c r="SCF36" s="707"/>
      <c r="SCG36" s="707"/>
      <c r="SCH36" s="707"/>
      <c r="SCI36" s="707"/>
      <c r="SCJ36" s="707"/>
      <c r="SCK36" s="707"/>
      <c r="SCL36" s="707"/>
      <c r="SCM36" s="707"/>
      <c r="SCN36" s="707"/>
      <c r="SCO36" s="707"/>
      <c r="SCP36" s="707"/>
      <c r="SCQ36" s="707"/>
      <c r="SCR36" s="707"/>
      <c r="SCS36" s="707"/>
      <c r="SCT36" s="707"/>
      <c r="SCU36" s="707"/>
      <c r="SCV36" s="707"/>
      <c r="SCW36" s="707"/>
      <c r="SCX36" s="707"/>
      <c r="SCY36" s="707"/>
      <c r="SCZ36" s="707"/>
      <c r="SDA36" s="707"/>
      <c r="SDB36" s="707"/>
      <c r="SDC36" s="707"/>
      <c r="SDD36" s="707"/>
      <c r="SDE36" s="707"/>
      <c r="SDF36" s="707"/>
      <c r="SDG36" s="707"/>
      <c r="SDH36" s="707"/>
      <c r="SDI36" s="707"/>
      <c r="SDJ36" s="707"/>
      <c r="SDK36" s="707"/>
      <c r="SDL36" s="707"/>
      <c r="SDM36" s="707"/>
      <c r="SDN36" s="707"/>
      <c r="SDO36" s="707"/>
      <c r="SDP36" s="707"/>
      <c r="SDQ36" s="707"/>
      <c r="SDR36" s="707"/>
      <c r="SDS36" s="707"/>
      <c r="SDT36" s="707"/>
      <c r="SDU36" s="707"/>
      <c r="SDV36" s="707"/>
      <c r="SDW36" s="707"/>
      <c r="SDX36" s="707"/>
      <c r="SDY36" s="707"/>
      <c r="SDZ36" s="707"/>
      <c r="SEA36" s="707"/>
      <c r="SEB36" s="707"/>
      <c r="SEC36" s="707"/>
      <c r="SED36" s="707"/>
      <c r="SEE36" s="707"/>
      <c r="SEF36" s="707"/>
      <c r="SEG36" s="707"/>
      <c r="SEH36" s="707"/>
      <c r="SEI36" s="707"/>
      <c r="SEJ36" s="707"/>
      <c r="SEK36" s="707"/>
      <c r="SEL36" s="707"/>
      <c r="SEM36" s="707"/>
      <c r="SEN36" s="707"/>
      <c r="SEO36" s="707"/>
      <c r="SEP36" s="707"/>
      <c r="SEQ36" s="707"/>
      <c r="SER36" s="707"/>
      <c r="SES36" s="707"/>
      <c r="SET36" s="707"/>
      <c r="SEU36" s="707"/>
      <c r="SEV36" s="707"/>
      <c r="SEW36" s="707"/>
      <c r="SEX36" s="707"/>
      <c r="SEY36" s="707"/>
      <c r="SEZ36" s="707"/>
      <c r="SFA36" s="707"/>
      <c r="SFB36" s="707"/>
      <c r="SFC36" s="707"/>
      <c r="SFD36" s="707"/>
      <c r="SFE36" s="707"/>
      <c r="SFF36" s="707"/>
      <c r="SFG36" s="707"/>
      <c r="SFH36" s="707"/>
      <c r="SFI36" s="707"/>
      <c r="SFJ36" s="707"/>
      <c r="SFK36" s="707"/>
      <c r="SFL36" s="707"/>
      <c r="SFM36" s="707"/>
      <c r="SFN36" s="707"/>
      <c r="SFO36" s="707"/>
      <c r="SFP36" s="707"/>
      <c r="SFQ36" s="707"/>
      <c r="SFR36" s="707"/>
      <c r="SFS36" s="707"/>
      <c r="SFT36" s="707"/>
      <c r="SFU36" s="707"/>
      <c r="SFV36" s="707"/>
      <c r="SFW36" s="707"/>
      <c r="SFX36" s="707"/>
      <c r="SFY36" s="707"/>
      <c r="SFZ36" s="707"/>
      <c r="SGA36" s="707"/>
      <c r="SGB36" s="707"/>
      <c r="SGC36" s="707"/>
      <c r="SGD36" s="707"/>
      <c r="SGE36" s="707"/>
      <c r="SGF36" s="707"/>
      <c r="SGG36" s="707"/>
      <c r="SGH36" s="707"/>
      <c r="SGI36" s="707"/>
      <c r="SGJ36" s="707"/>
      <c r="SGK36" s="707"/>
      <c r="SGL36" s="707"/>
      <c r="SGM36" s="707"/>
      <c r="SGN36" s="707"/>
      <c r="SGO36" s="707"/>
      <c r="SGP36" s="707"/>
      <c r="SGQ36" s="707"/>
      <c r="SGR36" s="707"/>
      <c r="SGS36" s="707"/>
      <c r="SGT36" s="707"/>
      <c r="SGU36" s="707"/>
      <c r="SGV36" s="707"/>
      <c r="SGW36" s="707"/>
      <c r="SGX36" s="707"/>
      <c r="SGY36" s="707"/>
      <c r="SGZ36" s="707"/>
      <c r="SHA36" s="707"/>
      <c r="SHB36" s="707"/>
      <c r="SHC36" s="707"/>
      <c r="SHD36" s="707"/>
      <c r="SHE36" s="707"/>
      <c r="SHF36" s="707"/>
      <c r="SHG36" s="707"/>
      <c r="SHH36" s="707"/>
      <c r="SHI36" s="707"/>
      <c r="SHJ36" s="707"/>
      <c r="SHK36" s="707"/>
      <c r="SHL36" s="707"/>
      <c r="SHM36" s="707"/>
      <c r="SHN36" s="707"/>
      <c r="SHO36" s="707"/>
      <c r="SHP36" s="707"/>
      <c r="SHQ36" s="707"/>
      <c r="SHR36" s="707"/>
      <c r="SHS36" s="707"/>
      <c r="SHT36" s="707"/>
      <c r="SHU36" s="707"/>
      <c r="SHV36" s="707"/>
      <c r="SHW36" s="707"/>
      <c r="SHX36" s="707"/>
      <c r="SHY36" s="707"/>
      <c r="SHZ36" s="707"/>
      <c r="SIA36" s="707"/>
      <c r="SIB36" s="707"/>
      <c r="SIC36" s="707"/>
      <c r="SID36" s="707"/>
      <c r="SIE36" s="707"/>
      <c r="SIF36" s="707"/>
      <c r="SIG36" s="707"/>
      <c r="SIH36" s="707"/>
      <c r="SII36" s="707"/>
      <c r="SIJ36" s="707"/>
      <c r="SIK36" s="707"/>
      <c r="SIL36" s="707"/>
      <c r="SIM36" s="707"/>
      <c r="SIN36" s="707"/>
      <c r="SIO36" s="707"/>
      <c r="SIP36" s="707"/>
      <c r="SIQ36" s="707"/>
      <c r="SIR36" s="707"/>
      <c r="SIS36" s="707"/>
      <c r="SIT36" s="707"/>
      <c r="SIU36" s="707"/>
      <c r="SIV36" s="707"/>
      <c r="SIW36" s="707"/>
      <c r="SIX36" s="707"/>
      <c r="SIY36" s="707"/>
      <c r="SIZ36" s="707"/>
      <c r="SJA36" s="707"/>
      <c r="SJB36" s="707"/>
      <c r="SJC36" s="707"/>
      <c r="SJD36" s="707"/>
      <c r="SJE36" s="707"/>
      <c r="SJF36" s="707"/>
      <c r="SJG36" s="707"/>
      <c r="SJH36" s="707"/>
      <c r="SJI36" s="707"/>
      <c r="SJJ36" s="707"/>
      <c r="SJK36" s="707"/>
      <c r="SJL36" s="707"/>
      <c r="SJM36" s="707"/>
      <c r="SJN36" s="707"/>
      <c r="SJO36" s="707"/>
      <c r="SJP36" s="707"/>
      <c r="SJQ36" s="707"/>
      <c r="SJR36" s="707"/>
      <c r="SJS36" s="707"/>
      <c r="SJT36" s="707"/>
      <c r="SJU36" s="707"/>
      <c r="SJV36" s="707"/>
      <c r="SJW36" s="707"/>
      <c r="SJX36" s="707"/>
      <c r="SJY36" s="707"/>
      <c r="SJZ36" s="707"/>
      <c r="SKA36" s="707"/>
      <c r="SKB36" s="707"/>
      <c r="SKC36" s="707"/>
      <c r="SKD36" s="707"/>
      <c r="SKE36" s="707"/>
      <c r="SKF36" s="707"/>
      <c r="SKG36" s="707"/>
      <c r="SKH36" s="707"/>
      <c r="SKI36" s="707"/>
      <c r="SKJ36" s="707"/>
      <c r="SKK36" s="707"/>
      <c r="SKL36" s="707"/>
      <c r="SKM36" s="707"/>
      <c r="SKN36" s="707"/>
      <c r="SKO36" s="707"/>
      <c r="SKP36" s="707"/>
      <c r="SKQ36" s="707"/>
      <c r="SKR36" s="707"/>
      <c r="SKS36" s="707"/>
      <c r="SKT36" s="707"/>
      <c r="SKU36" s="707"/>
      <c r="SKV36" s="707"/>
      <c r="SKW36" s="707"/>
      <c r="SKX36" s="707"/>
      <c r="SKY36" s="707"/>
      <c r="SKZ36" s="707"/>
      <c r="SLA36" s="707"/>
      <c r="SLB36" s="707"/>
      <c r="SLC36" s="707"/>
      <c r="SLD36" s="707"/>
      <c r="SLE36" s="707"/>
      <c r="SLF36" s="707"/>
      <c r="SLG36" s="707"/>
      <c r="SLH36" s="707"/>
      <c r="SLI36" s="707"/>
      <c r="SLJ36" s="707"/>
      <c r="SLK36" s="707"/>
      <c r="SLL36" s="707"/>
      <c r="SLM36" s="707"/>
      <c r="SLN36" s="707"/>
      <c r="SLO36" s="707"/>
      <c r="SLP36" s="707"/>
      <c r="SLQ36" s="707"/>
      <c r="SLR36" s="707"/>
      <c r="SLS36" s="707"/>
      <c r="SLT36" s="707"/>
      <c r="SLU36" s="707"/>
      <c r="SLV36" s="707"/>
      <c r="SLW36" s="707"/>
      <c r="SLX36" s="707"/>
      <c r="SLY36" s="707"/>
      <c r="SLZ36" s="707"/>
      <c r="SMA36" s="707"/>
      <c r="SMB36" s="707"/>
      <c r="SMC36" s="707"/>
      <c r="SMD36" s="707"/>
      <c r="SME36" s="707"/>
      <c r="SMF36" s="707"/>
      <c r="SMG36" s="707"/>
      <c r="SMH36" s="707"/>
      <c r="SMI36" s="707"/>
      <c r="SMJ36" s="707"/>
      <c r="SMK36" s="707"/>
      <c r="SML36" s="707"/>
      <c r="SMM36" s="707"/>
      <c r="SMN36" s="707"/>
      <c r="SMO36" s="707"/>
      <c r="SMP36" s="707"/>
      <c r="SMQ36" s="707"/>
      <c r="SMR36" s="707"/>
      <c r="SMS36" s="707"/>
      <c r="SMT36" s="707"/>
      <c r="SMU36" s="707"/>
      <c r="SMV36" s="707"/>
      <c r="SMW36" s="707"/>
      <c r="SMX36" s="707"/>
      <c r="SMY36" s="707"/>
      <c r="SMZ36" s="707"/>
      <c r="SNA36" s="707"/>
      <c r="SNB36" s="707"/>
      <c r="SNC36" s="707"/>
      <c r="SND36" s="707"/>
      <c r="SNE36" s="707"/>
      <c r="SNF36" s="707"/>
      <c r="SNG36" s="707"/>
      <c r="SNH36" s="707"/>
      <c r="SNI36" s="707"/>
      <c r="SNJ36" s="707"/>
      <c r="SNK36" s="707"/>
      <c r="SNL36" s="707"/>
      <c r="SNM36" s="707"/>
      <c r="SNN36" s="707"/>
      <c r="SNO36" s="707"/>
      <c r="SNP36" s="707"/>
      <c r="SNQ36" s="707"/>
      <c r="SNR36" s="707"/>
      <c r="SNS36" s="707"/>
      <c r="SNT36" s="707"/>
      <c r="SNU36" s="707"/>
      <c r="SNV36" s="707"/>
      <c r="SNW36" s="707"/>
      <c r="SNX36" s="707"/>
      <c r="SNY36" s="707"/>
      <c r="SNZ36" s="707"/>
      <c r="SOA36" s="707"/>
      <c r="SOB36" s="707"/>
      <c r="SOC36" s="707"/>
      <c r="SOD36" s="707"/>
      <c r="SOE36" s="707"/>
      <c r="SOF36" s="707"/>
      <c r="SOG36" s="707"/>
      <c r="SOH36" s="707"/>
      <c r="SOI36" s="707"/>
      <c r="SOJ36" s="707"/>
      <c r="SOK36" s="707"/>
      <c r="SOL36" s="707"/>
      <c r="SOM36" s="707"/>
      <c r="SON36" s="707"/>
      <c r="SOO36" s="707"/>
      <c r="SOP36" s="707"/>
      <c r="SOQ36" s="707"/>
      <c r="SOR36" s="707"/>
      <c r="SOS36" s="707"/>
      <c r="SOT36" s="707"/>
      <c r="SOU36" s="707"/>
      <c r="SOV36" s="707"/>
      <c r="SOW36" s="707"/>
      <c r="SOX36" s="707"/>
      <c r="SOY36" s="707"/>
      <c r="SOZ36" s="707"/>
      <c r="SPA36" s="707"/>
      <c r="SPB36" s="707"/>
      <c r="SPC36" s="707"/>
      <c r="SPD36" s="707"/>
      <c r="SPE36" s="707"/>
      <c r="SPF36" s="707"/>
      <c r="SPG36" s="707"/>
      <c r="SPH36" s="707"/>
      <c r="SPI36" s="707"/>
      <c r="SPJ36" s="707"/>
      <c r="SPK36" s="707"/>
      <c r="SPL36" s="707"/>
      <c r="SPM36" s="707"/>
      <c r="SPN36" s="707"/>
      <c r="SPO36" s="707"/>
      <c r="SPP36" s="707"/>
      <c r="SPQ36" s="707"/>
      <c r="SPR36" s="707"/>
      <c r="SPS36" s="707"/>
      <c r="SPT36" s="707"/>
      <c r="SPU36" s="707"/>
      <c r="SPV36" s="707"/>
      <c r="SPW36" s="707"/>
      <c r="SPX36" s="707"/>
      <c r="SPY36" s="707"/>
      <c r="SPZ36" s="707"/>
      <c r="SQA36" s="707"/>
      <c r="SQB36" s="707"/>
      <c r="SQC36" s="707"/>
      <c r="SQD36" s="707"/>
      <c r="SQE36" s="707"/>
      <c r="SQF36" s="707"/>
      <c r="SQG36" s="707"/>
      <c r="SQH36" s="707"/>
      <c r="SQI36" s="707"/>
      <c r="SQJ36" s="707"/>
      <c r="SQK36" s="707"/>
      <c r="SQL36" s="707"/>
      <c r="SQM36" s="707"/>
      <c r="SQN36" s="707"/>
      <c r="SQO36" s="707"/>
      <c r="SQP36" s="707"/>
      <c r="SQQ36" s="707"/>
      <c r="SQR36" s="707"/>
      <c r="SQS36" s="707"/>
      <c r="SQT36" s="707"/>
      <c r="SQU36" s="707"/>
      <c r="SQV36" s="707"/>
      <c r="SQW36" s="707"/>
      <c r="SQX36" s="707"/>
      <c r="SQY36" s="707"/>
      <c r="SQZ36" s="707"/>
      <c r="SRA36" s="707"/>
      <c r="SRB36" s="707"/>
      <c r="SRC36" s="707"/>
      <c r="SRD36" s="707"/>
      <c r="SRE36" s="707"/>
      <c r="SRF36" s="707"/>
      <c r="SRG36" s="707"/>
      <c r="SRH36" s="707"/>
      <c r="SRI36" s="707"/>
      <c r="SRJ36" s="707"/>
      <c r="SRK36" s="707"/>
      <c r="SRL36" s="707"/>
      <c r="SRM36" s="707"/>
      <c r="SRN36" s="707"/>
      <c r="SRO36" s="707"/>
      <c r="SRP36" s="707"/>
      <c r="SRQ36" s="707"/>
      <c r="SRR36" s="707"/>
      <c r="SRS36" s="707"/>
      <c r="SRT36" s="707"/>
      <c r="SRU36" s="707"/>
      <c r="SRV36" s="707"/>
      <c r="SRW36" s="707"/>
      <c r="SRX36" s="707"/>
      <c r="SRY36" s="707"/>
      <c r="SRZ36" s="707"/>
      <c r="SSA36" s="707"/>
      <c r="SSB36" s="707"/>
      <c r="SSC36" s="707"/>
      <c r="SSD36" s="707"/>
      <c r="SSE36" s="707"/>
      <c r="SSF36" s="707"/>
      <c r="SSG36" s="707"/>
      <c r="SSH36" s="707"/>
      <c r="SSI36" s="707"/>
      <c r="SSJ36" s="707"/>
      <c r="SSK36" s="707"/>
      <c r="SSL36" s="707"/>
      <c r="SSM36" s="707"/>
      <c r="SSN36" s="707"/>
      <c r="SSO36" s="707"/>
      <c r="SSP36" s="707"/>
      <c r="SSQ36" s="707"/>
      <c r="SSR36" s="707"/>
      <c r="SSS36" s="707"/>
      <c r="SST36" s="707"/>
      <c r="SSU36" s="707"/>
      <c r="SSV36" s="707"/>
      <c r="SSW36" s="707"/>
      <c r="SSX36" s="707"/>
      <c r="SSY36" s="707"/>
      <c r="SSZ36" s="707"/>
      <c r="STA36" s="707"/>
      <c r="STB36" s="707"/>
      <c r="STC36" s="707"/>
      <c r="STD36" s="707"/>
      <c r="STE36" s="707"/>
      <c r="STF36" s="707"/>
      <c r="STG36" s="707"/>
      <c r="STH36" s="707"/>
      <c r="STI36" s="707"/>
      <c r="STJ36" s="707"/>
      <c r="STK36" s="707"/>
      <c r="STL36" s="707"/>
      <c r="STM36" s="707"/>
      <c r="STN36" s="707"/>
      <c r="STO36" s="707"/>
      <c r="STP36" s="707"/>
      <c r="STQ36" s="707"/>
      <c r="STR36" s="707"/>
      <c r="STS36" s="707"/>
      <c r="STT36" s="707"/>
      <c r="STU36" s="707"/>
      <c r="STV36" s="707"/>
      <c r="STW36" s="707"/>
      <c r="STX36" s="707"/>
      <c r="STY36" s="707"/>
      <c r="STZ36" s="707"/>
      <c r="SUA36" s="707"/>
      <c r="SUB36" s="707"/>
      <c r="SUC36" s="707"/>
      <c r="SUD36" s="707"/>
      <c r="SUE36" s="707"/>
      <c r="SUF36" s="707"/>
      <c r="SUG36" s="707"/>
      <c r="SUH36" s="707"/>
      <c r="SUI36" s="707"/>
      <c r="SUJ36" s="707"/>
      <c r="SUK36" s="707"/>
      <c r="SUL36" s="707"/>
      <c r="SUM36" s="707"/>
      <c r="SUN36" s="707"/>
      <c r="SUO36" s="707"/>
      <c r="SUP36" s="707"/>
      <c r="SUQ36" s="707"/>
      <c r="SUR36" s="707"/>
      <c r="SUS36" s="707"/>
      <c r="SUT36" s="707"/>
      <c r="SUU36" s="707"/>
      <c r="SUV36" s="707"/>
      <c r="SUW36" s="707"/>
      <c r="SUX36" s="707"/>
      <c r="SUY36" s="707"/>
      <c r="SUZ36" s="707"/>
      <c r="SVA36" s="707"/>
      <c r="SVB36" s="707"/>
      <c r="SVC36" s="707"/>
      <c r="SVD36" s="707"/>
      <c r="SVE36" s="707"/>
      <c r="SVF36" s="707"/>
      <c r="SVG36" s="707"/>
      <c r="SVH36" s="707"/>
      <c r="SVI36" s="707"/>
      <c r="SVJ36" s="707"/>
      <c r="SVK36" s="707"/>
      <c r="SVL36" s="707"/>
      <c r="SVM36" s="707"/>
      <c r="SVN36" s="707"/>
      <c r="SVO36" s="707"/>
      <c r="SVP36" s="707"/>
      <c r="SVQ36" s="707"/>
      <c r="SVR36" s="707"/>
      <c r="SVS36" s="707"/>
      <c r="SVT36" s="707"/>
      <c r="SVU36" s="707"/>
      <c r="SVV36" s="707"/>
      <c r="SVW36" s="707"/>
      <c r="SVX36" s="707"/>
      <c r="SVY36" s="707"/>
      <c r="SVZ36" s="707"/>
      <c r="SWA36" s="707"/>
      <c r="SWB36" s="707"/>
      <c r="SWC36" s="707"/>
      <c r="SWD36" s="707"/>
      <c r="SWE36" s="707"/>
      <c r="SWF36" s="707"/>
      <c r="SWG36" s="707"/>
      <c r="SWH36" s="707"/>
      <c r="SWI36" s="707"/>
      <c r="SWJ36" s="707"/>
      <c r="SWK36" s="707"/>
      <c r="SWL36" s="707"/>
      <c r="SWM36" s="707"/>
      <c r="SWN36" s="707"/>
      <c r="SWO36" s="707"/>
      <c r="SWP36" s="707"/>
      <c r="SWQ36" s="707"/>
      <c r="SWR36" s="707"/>
      <c r="SWS36" s="707"/>
      <c r="SWT36" s="707"/>
      <c r="SWU36" s="707"/>
      <c r="SWV36" s="707"/>
      <c r="SWW36" s="707"/>
      <c r="SWX36" s="707"/>
      <c r="SWY36" s="707"/>
      <c r="SWZ36" s="707"/>
      <c r="SXA36" s="707"/>
      <c r="SXB36" s="707"/>
      <c r="SXC36" s="707"/>
      <c r="SXD36" s="707"/>
      <c r="SXE36" s="707"/>
      <c r="SXF36" s="707"/>
      <c r="SXG36" s="707"/>
      <c r="SXH36" s="707"/>
      <c r="SXI36" s="707"/>
      <c r="SXJ36" s="707"/>
      <c r="SXK36" s="707"/>
      <c r="SXL36" s="707"/>
      <c r="SXM36" s="707"/>
      <c r="SXN36" s="707"/>
      <c r="SXO36" s="707"/>
      <c r="SXP36" s="707"/>
      <c r="SXQ36" s="707"/>
      <c r="SXR36" s="707"/>
      <c r="SXS36" s="707"/>
      <c r="SXT36" s="707"/>
      <c r="SXU36" s="707"/>
      <c r="SXV36" s="707"/>
      <c r="SXW36" s="707"/>
      <c r="SXX36" s="707"/>
      <c r="SXY36" s="707"/>
      <c r="SXZ36" s="707"/>
      <c r="SYA36" s="707"/>
      <c r="SYB36" s="707"/>
      <c r="SYC36" s="707"/>
      <c r="SYD36" s="707"/>
      <c r="SYE36" s="707"/>
      <c r="SYF36" s="707"/>
      <c r="SYG36" s="707"/>
      <c r="SYH36" s="707"/>
      <c r="SYI36" s="707"/>
      <c r="SYJ36" s="707"/>
      <c r="SYK36" s="707"/>
      <c r="SYL36" s="707"/>
      <c r="SYM36" s="707"/>
      <c r="SYN36" s="707"/>
      <c r="SYO36" s="707"/>
      <c r="SYP36" s="707"/>
      <c r="SYQ36" s="707"/>
      <c r="SYR36" s="707"/>
      <c r="SYS36" s="707"/>
      <c r="SYT36" s="707"/>
      <c r="SYU36" s="707"/>
      <c r="SYV36" s="707"/>
      <c r="SYW36" s="707"/>
      <c r="SYX36" s="707"/>
      <c r="SYY36" s="707"/>
      <c r="SYZ36" s="707"/>
      <c r="SZA36" s="707"/>
      <c r="SZB36" s="707"/>
      <c r="SZC36" s="707"/>
      <c r="SZD36" s="707"/>
      <c r="SZE36" s="707"/>
      <c r="SZF36" s="707"/>
      <c r="SZG36" s="707"/>
      <c r="SZH36" s="707"/>
      <c r="SZI36" s="707"/>
      <c r="SZJ36" s="707"/>
      <c r="SZK36" s="707"/>
      <c r="SZL36" s="707"/>
      <c r="SZM36" s="707"/>
      <c r="SZN36" s="707"/>
      <c r="SZO36" s="707"/>
      <c r="SZP36" s="707"/>
      <c r="SZQ36" s="707"/>
      <c r="SZR36" s="707"/>
      <c r="SZS36" s="707"/>
      <c r="SZT36" s="707"/>
      <c r="SZU36" s="707"/>
      <c r="SZV36" s="707"/>
      <c r="SZW36" s="707"/>
      <c r="SZX36" s="707"/>
      <c r="SZY36" s="707"/>
      <c r="SZZ36" s="707"/>
      <c r="TAA36" s="707"/>
      <c r="TAB36" s="707"/>
      <c r="TAC36" s="707"/>
      <c r="TAD36" s="707"/>
      <c r="TAE36" s="707"/>
      <c r="TAF36" s="707"/>
      <c r="TAG36" s="707"/>
      <c r="TAH36" s="707"/>
      <c r="TAI36" s="707"/>
      <c r="TAJ36" s="707"/>
      <c r="TAK36" s="707"/>
      <c r="TAL36" s="707"/>
      <c r="TAM36" s="707"/>
      <c r="TAN36" s="707"/>
      <c r="TAO36" s="707"/>
      <c r="TAP36" s="707"/>
      <c r="TAQ36" s="707"/>
      <c r="TAR36" s="707"/>
      <c r="TAS36" s="707"/>
      <c r="TAT36" s="707"/>
      <c r="TAU36" s="707"/>
      <c r="TAV36" s="707"/>
      <c r="TAW36" s="707"/>
      <c r="TAX36" s="707"/>
      <c r="TAY36" s="707"/>
      <c r="TAZ36" s="707"/>
      <c r="TBA36" s="707"/>
      <c r="TBB36" s="707"/>
      <c r="TBC36" s="707"/>
      <c r="TBD36" s="707"/>
      <c r="TBE36" s="707"/>
      <c r="TBF36" s="707"/>
      <c r="TBG36" s="707"/>
      <c r="TBH36" s="707"/>
      <c r="TBI36" s="707"/>
      <c r="TBJ36" s="707"/>
      <c r="TBK36" s="707"/>
      <c r="TBL36" s="707"/>
      <c r="TBM36" s="707"/>
      <c r="TBN36" s="707"/>
      <c r="TBO36" s="707"/>
      <c r="TBP36" s="707"/>
      <c r="TBQ36" s="707"/>
      <c r="TBR36" s="707"/>
      <c r="TBS36" s="707"/>
      <c r="TBT36" s="707"/>
      <c r="TBU36" s="707"/>
      <c r="TBV36" s="707"/>
      <c r="TBW36" s="707"/>
      <c r="TBX36" s="707"/>
      <c r="TBY36" s="707"/>
      <c r="TBZ36" s="707"/>
      <c r="TCA36" s="707"/>
      <c r="TCB36" s="707"/>
      <c r="TCC36" s="707"/>
      <c r="TCD36" s="707"/>
      <c r="TCE36" s="707"/>
      <c r="TCF36" s="707"/>
      <c r="TCG36" s="707"/>
      <c r="TCH36" s="707"/>
      <c r="TCI36" s="707"/>
      <c r="TCJ36" s="707"/>
      <c r="TCK36" s="707"/>
      <c r="TCL36" s="707"/>
      <c r="TCM36" s="707"/>
      <c r="TCN36" s="707"/>
      <c r="TCO36" s="707"/>
      <c r="TCP36" s="707"/>
      <c r="TCQ36" s="707"/>
      <c r="TCR36" s="707"/>
      <c r="TCS36" s="707"/>
      <c r="TCT36" s="707"/>
      <c r="TCU36" s="707"/>
      <c r="TCV36" s="707"/>
      <c r="TCW36" s="707"/>
      <c r="TCX36" s="707"/>
      <c r="TCY36" s="707"/>
      <c r="TCZ36" s="707"/>
      <c r="TDA36" s="707"/>
      <c r="TDB36" s="707"/>
      <c r="TDC36" s="707"/>
      <c r="TDD36" s="707"/>
      <c r="TDE36" s="707"/>
      <c r="TDF36" s="707"/>
      <c r="TDG36" s="707"/>
      <c r="TDH36" s="707"/>
      <c r="TDI36" s="707"/>
      <c r="TDJ36" s="707"/>
      <c r="TDK36" s="707"/>
      <c r="TDL36" s="707"/>
      <c r="TDM36" s="707"/>
      <c r="TDN36" s="707"/>
      <c r="TDO36" s="707"/>
      <c r="TDP36" s="707"/>
      <c r="TDQ36" s="707"/>
      <c r="TDR36" s="707"/>
      <c r="TDS36" s="707"/>
      <c r="TDT36" s="707"/>
      <c r="TDU36" s="707"/>
      <c r="TDV36" s="707"/>
      <c r="TDW36" s="707"/>
      <c r="TDX36" s="707"/>
      <c r="TDY36" s="707"/>
      <c r="TDZ36" s="707"/>
      <c r="TEA36" s="707"/>
      <c r="TEB36" s="707"/>
      <c r="TEC36" s="707"/>
      <c r="TED36" s="707"/>
      <c r="TEE36" s="707"/>
      <c r="TEF36" s="707"/>
      <c r="TEG36" s="707"/>
      <c r="TEH36" s="707"/>
      <c r="TEI36" s="707"/>
      <c r="TEJ36" s="707"/>
      <c r="TEK36" s="707"/>
      <c r="TEL36" s="707"/>
      <c r="TEM36" s="707"/>
      <c r="TEN36" s="707"/>
      <c r="TEO36" s="707"/>
      <c r="TEP36" s="707"/>
      <c r="TEQ36" s="707"/>
      <c r="TER36" s="707"/>
      <c r="TES36" s="707"/>
      <c r="TET36" s="707"/>
      <c r="TEU36" s="707"/>
      <c r="TEV36" s="707"/>
      <c r="TEW36" s="707"/>
      <c r="TEX36" s="707"/>
      <c r="TEY36" s="707"/>
      <c r="TEZ36" s="707"/>
      <c r="TFA36" s="707"/>
      <c r="TFB36" s="707"/>
      <c r="TFC36" s="707"/>
      <c r="TFD36" s="707"/>
      <c r="TFE36" s="707"/>
      <c r="TFF36" s="707"/>
      <c r="TFG36" s="707"/>
      <c r="TFH36" s="707"/>
      <c r="TFI36" s="707"/>
      <c r="TFJ36" s="707"/>
      <c r="TFK36" s="707"/>
      <c r="TFL36" s="707"/>
      <c r="TFM36" s="707"/>
      <c r="TFN36" s="707"/>
      <c r="TFO36" s="707"/>
      <c r="TFP36" s="707"/>
      <c r="TFQ36" s="707"/>
      <c r="TFR36" s="707"/>
      <c r="TFS36" s="707"/>
      <c r="TFT36" s="707"/>
      <c r="TFU36" s="707"/>
      <c r="TFV36" s="707"/>
      <c r="TFW36" s="707"/>
      <c r="TFX36" s="707"/>
      <c r="TFY36" s="707"/>
      <c r="TFZ36" s="707"/>
      <c r="TGA36" s="707"/>
      <c r="TGB36" s="707"/>
      <c r="TGC36" s="707"/>
      <c r="TGD36" s="707"/>
      <c r="TGE36" s="707"/>
      <c r="TGF36" s="707"/>
      <c r="TGG36" s="707"/>
      <c r="TGH36" s="707"/>
      <c r="TGI36" s="707"/>
      <c r="TGJ36" s="707"/>
      <c r="TGK36" s="707"/>
      <c r="TGL36" s="707"/>
      <c r="TGM36" s="707"/>
      <c r="TGN36" s="707"/>
      <c r="TGO36" s="707"/>
      <c r="TGP36" s="707"/>
      <c r="TGQ36" s="707"/>
      <c r="TGR36" s="707"/>
      <c r="TGS36" s="707"/>
      <c r="TGT36" s="707"/>
      <c r="TGU36" s="707"/>
      <c r="TGV36" s="707"/>
      <c r="TGW36" s="707"/>
      <c r="TGX36" s="707"/>
      <c r="TGY36" s="707"/>
      <c r="TGZ36" s="707"/>
      <c r="THA36" s="707"/>
      <c r="THB36" s="707"/>
      <c r="THC36" s="707"/>
      <c r="THD36" s="707"/>
      <c r="THE36" s="707"/>
      <c r="THF36" s="707"/>
      <c r="THG36" s="707"/>
      <c r="THH36" s="707"/>
      <c r="THI36" s="707"/>
      <c r="THJ36" s="707"/>
      <c r="THK36" s="707"/>
      <c r="THL36" s="707"/>
      <c r="THM36" s="707"/>
      <c r="THN36" s="707"/>
      <c r="THO36" s="707"/>
      <c r="THP36" s="707"/>
      <c r="THQ36" s="707"/>
      <c r="THR36" s="707"/>
      <c r="THS36" s="707"/>
      <c r="THT36" s="707"/>
      <c r="THU36" s="707"/>
      <c r="THV36" s="707"/>
      <c r="THW36" s="707"/>
      <c r="THX36" s="707"/>
      <c r="THY36" s="707"/>
      <c r="THZ36" s="707"/>
      <c r="TIA36" s="707"/>
      <c r="TIB36" s="707"/>
      <c r="TIC36" s="707"/>
      <c r="TID36" s="707"/>
      <c r="TIE36" s="707"/>
      <c r="TIF36" s="707"/>
      <c r="TIG36" s="707"/>
      <c r="TIH36" s="707"/>
      <c r="TII36" s="707"/>
      <c r="TIJ36" s="707"/>
      <c r="TIK36" s="707"/>
      <c r="TIL36" s="707"/>
      <c r="TIM36" s="707"/>
      <c r="TIN36" s="707"/>
      <c r="TIO36" s="707"/>
      <c r="TIP36" s="707"/>
      <c r="TIQ36" s="707"/>
      <c r="TIR36" s="707"/>
      <c r="TIS36" s="707"/>
      <c r="TIT36" s="707"/>
      <c r="TIU36" s="707"/>
      <c r="TIV36" s="707"/>
      <c r="TIW36" s="707"/>
      <c r="TIX36" s="707"/>
      <c r="TIY36" s="707"/>
      <c r="TIZ36" s="707"/>
      <c r="TJA36" s="707"/>
      <c r="TJB36" s="707"/>
      <c r="TJC36" s="707"/>
      <c r="TJD36" s="707"/>
      <c r="TJE36" s="707"/>
      <c r="TJF36" s="707"/>
      <c r="TJG36" s="707"/>
      <c r="TJH36" s="707"/>
      <c r="TJI36" s="707"/>
      <c r="TJJ36" s="707"/>
      <c r="TJK36" s="707"/>
      <c r="TJL36" s="707"/>
      <c r="TJM36" s="707"/>
      <c r="TJN36" s="707"/>
      <c r="TJO36" s="707"/>
      <c r="TJP36" s="707"/>
      <c r="TJQ36" s="707"/>
      <c r="TJR36" s="707"/>
      <c r="TJS36" s="707"/>
      <c r="TJT36" s="707"/>
      <c r="TJU36" s="707"/>
      <c r="TJV36" s="707"/>
      <c r="TJW36" s="707"/>
      <c r="TJX36" s="707"/>
      <c r="TJY36" s="707"/>
      <c r="TJZ36" s="707"/>
      <c r="TKA36" s="707"/>
      <c r="TKB36" s="707"/>
      <c r="TKC36" s="707"/>
      <c r="TKD36" s="707"/>
      <c r="TKE36" s="707"/>
      <c r="TKF36" s="707"/>
      <c r="TKG36" s="707"/>
      <c r="TKH36" s="707"/>
      <c r="TKI36" s="707"/>
      <c r="TKJ36" s="707"/>
      <c r="TKK36" s="707"/>
      <c r="TKL36" s="707"/>
      <c r="TKM36" s="707"/>
      <c r="TKN36" s="707"/>
      <c r="TKO36" s="707"/>
      <c r="TKP36" s="707"/>
      <c r="TKQ36" s="707"/>
      <c r="TKR36" s="707"/>
      <c r="TKS36" s="707"/>
      <c r="TKT36" s="707"/>
      <c r="TKU36" s="707"/>
      <c r="TKV36" s="707"/>
      <c r="TKW36" s="707"/>
      <c r="TKX36" s="707"/>
      <c r="TKY36" s="707"/>
      <c r="TKZ36" s="707"/>
      <c r="TLA36" s="707"/>
      <c r="TLB36" s="707"/>
      <c r="TLC36" s="707"/>
      <c r="TLD36" s="707"/>
      <c r="TLE36" s="707"/>
      <c r="TLF36" s="707"/>
      <c r="TLG36" s="707"/>
      <c r="TLH36" s="707"/>
      <c r="TLI36" s="707"/>
      <c r="TLJ36" s="707"/>
      <c r="TLK36" s="707"/>
      <c r="TLL36" s="707"/>
      <c r="TLM36" s="707"/>
      <c r="TLN36" s="707"/>
      <c r="TLO36" s="707"/>
      <c r="TLP36" s="707"/>
      <c r="TLQ36" s="707"/>
      <c r="TLR36" s="707"/>
      <c r="TLS36" s="707"/>
      <c r="TLT36" s="707"/>
      <c r="TLU36" s="707"/>
      <c r="TLV36" s="707"/>
      <c r="TLW36" s="707"/>
      <c r="TLX36" s="707"/>
      <c r="TLY36" s="707"/>
      <c r="TLZ36" s="707"/>
      <c r="TMA36" s="707"/>
      <c r="TMB36" s="707"/>
      <c r="TMC36" s="707"/>
      <c r="TMD36" s="707"/>
      <c r="TME36" s="707"/>
      <c r="TMF36" s="707"/>
      <c r="TMG36" s="707"/>
      <c r="TMH36" s="707"/>
      <c r="TMI36" s="707"/>
      <c r="TMJ36" s="707"/>
      <c r="TMK36" s="707"/>
      <c r="TML36" s="707"/>
      <c r="TMM36" s="707"/>
      <c r="TMN36" s="707"/>
      <c r="TMO36" s="707"/>
      <c r="TMP36" s="707"/>
      <c r="TMQ36" s="707"/>
      <c r="TMR36" s="707"/>
      <c r="TMS36" s="707"/>
      <c r="TMT36" s="707"/>
      <c r="TMU36" s="707"/>
      <c r="TMV36" s="707"/>
      <c r="TMW36" s="707"/>
      <c r="TMX36" s="707"/>
      <c r="TMY36" s="707"/>
      <c r="TMZ36" s="707"/>
      <c r="TNA36" s="707"/>
      <c r="TNB36" s="707"/>
      <c r="TNC36" s="707"/>
      <c r="TND36" s="707"/>
      <c r="TNE36" s="707"/>
      <c r="TNF36" s="707"/>
      <c r="TNG36" s="707"/>
      <c r="TNH36" s="707"/>
      <c r="TNI36" s="707"/>
      <c r="TNJ36" s="707"/>
      <c r="TNK36" s="707"/>
      <c r="TNL36" s="707"/>
      <c r="TNM36" s="707"/>
      <c r="TNN36" s="707"/>
      <c r="TNO36" s="707"/>
      <c r="TNP36" s="707"/>
      <c r="TNQ36" s="707"/>
      <c r="TNR36" s="707"/>
      <c r="TNS36" s="707"/>
      <c r="TNT36" s="707"/>
      <c r="TNU36" s="707"/>
      <c r="TNV36" s="707"/>
      <c r="TNW36" s="707"/>
      <c r="TNX36" s="707"/>
      <c r="TNY36" s="707"/>
      <c r="TNZ36" s="707"/>
      <c r="TOA36" s="707"/>
      <c r="TOB36" s="707"/>
      <c r="TOC36" s="707"/>
      <c r="TOD36" s="707"/>
      <c r="TOE36" s="707"/>
      <c r="TOF36" s="707"/>
      <c r="TOG36" s="707"/>
      <c r="TOH36" s="707"/>
      <c r="TOI36" s="707"/>
      <c r="TOJ36" s="707"/>
      <c r="TOK36" s="707"/>
      <c r="TOL36" s="707"/>
      <c r="TOM36" s="707"/>
      <c r="TON36" s="707"/>
      <c r="TOO36" s="707"/>
      <c r="TOP36" s="707"/>
      <c r="TOQ36" s="707"/>
      <c r="TOR36" s="707"/>
      <c r="TOS36" s="707"/>
      <c r="TOT36" s="707"/>
      <c r="TOU36" s="707"/>
      <c r="TOV36" s="707"/>
      <c r="TOW36" s="707"/>
      <c r="TOX36" s="707"/>
      <c r="TOY36" s="707"/>
      <c r="TOZ36" s="707"/>
      <c r="TPA36" s="707"/>
      <c r="TPB36" s="707"/>
      <c r="TPC36" s="707"/>
      <c r="TPD36" s="707"/>
      <c r="TPE36" s="707"/>
      <c r="TPF36" s="707"/>
      <c r="TPG36" s="707"/>
      <c r="TPH36" s="707"/>
      <c r="TPI36" s="707"/>
      <c r="TPJ36" s="707"/>
      <c r="TPK36" s="707"/>
      <c r="TPL36" s="707"/>
      <c r="TPM36" s="707"/>
      <c r="TPN36" s="707"/>
      <c r="TPO36" s="707"/>
      <c r="TPP36" s="707"/>
      <c r="TPQ36" s="707"/>
      <c r="TPR36" s="707"/>
      <c r="TPS36" s="707"/>
      <c r="TPT36" s="707"/>
      <c r="TPU36" s="707"/>
      <c r="TPV36" s="707"/>
      <c r="TPW36" s="707"/>
      <c r="TPX36" s="707"/>
      <c r="TPY36" s="707"/>
      <c r="TPZ36" s="707"/>
      <c r="TQA36" s="707"/>
      <c r="TQB36" s="707"/>
      <c r="TQC36" s="707"/>
      <c r="TQD36" s="707"/>
      <c r="TQE36" s="707"/>
      <c r="TQF36" s="707"/>
      <c r="TQG36" s="707"/>
      <c r="TQH36" s="707"/>
      <c r="TQI36" s="707"/>
      <c r="TQJ36" s="707"/>
      <c r="TQK36" s="707"/>
      <c r="TQL36" s="707"/>
      <c r="TQM36" s="707"/>
      <c r="TQN36" s="707"/>
      <c r="TQO36" s="707"/>
      <c r="TQP36" s="707"/>
      <c r="TQQ36" s="707"/>
      <c r="TQR36" s="707"/>
      <c r="TQS36" s="707"/>
      <c r="TQT36" s="707"/>
      <c r="TQU36" s="707"/>
      <c r="TQV36" s="707"/>
      <c r="TQW36" s="707"/>
      <c r="TQX36" s="707"/>
      <c r="TQY36" s="707"/>
      <c r="TQZ36" s="707"/>
      <c r="TRA36" s="707"/>
      <c r="TRB36" s="707"/>
      <c r="TRC36" s="707"/>
      <c r="TRD36" s="707"/>
      <c r="TRE36" s="707"/>
      <c r="TRF36" s="707"/>
      <c r="TRG36" s="707"/>
      <c r="TRH36" s="707"/>
      <c r="TRI36" s="707"/>
      <c r="TRJ36" s="707"/>
      <c r="TRK36" s="707"/>
      <c r="TRL36" s="707"/>
      <c r="TRM36" s="707"/>
      <c r="TRN36" s="707"/>
      <c r="TRO36" s="707"/>
      <c r="TRP36" s="707"/>
      <c r="TRQ36" s="707"/>
      <c r="TRR36" s="707"/>
      <c r="TRS36" s="707"/>
      <c r="TRT36" s="707"/>
      <c r="TRU36" s="707"/>
      <c r="TRV36" s="707"/>
      <c r="TRW36" s="707"/>
      <c r="TRX36" s="707"/>
      <c r="TRY36" s="707"/>
      <c r="TRZ36" s="707"/>
      <c r="TSA36" s="707"/>
      <c r="TSB36" s="707"/>
      <c r="TSC36" s="707"/>
      <c r="TSD36" s="707"/>
      <c r="TSE36" s="707"/>
      <c r="TSF36" s="707"/>
      <c r="TSG36" s="707"/>
      <c r="TSH36" s="707"/>
      <c r="TSI36" s="707"/>
      <c r="TSJ36" s="707"/>
      <c r="TSK36" s="707"/>
      <c r="TSL36" s="707"/>
      <c r="TSM36" s="707"/>
      <c r="TSN36" s="707"/>
      <c r="TSO36" s="707"/>
      <c r="TSP36" s="707"/>
      <c r="TSQ36" s="707"/>
      <c r="TSR36" s="707"/>
      <c r="TSS36" s="707"/>
      <c r="TST36" s="707"/>
      <c r="TSU36" s="707"/>
      <c r="TSV36" s="707"/>
      <c r="TSW36" s="707"/>
      <c r="TSX36" s="707"/>
      <c r="TSY36" s="707"/>
      <c r="TSZ36" s="707"/>
      <c r="TTA36" s="707"/>
      <c r="TTB36" s="707"/>
      <c r="TTC36" s="707"/>
      <c r="TTD36" s="707"/>
      <c r="TTE36" s="707"/>
      <c r="TTF36" s="707"/>
      <c r="TTG36" s="707"/>
      <c r="TTH36" s="707"/>
      <c r="TTI36" s="707"/>
      <c r="TTJ36" s="707"/>
      <c r="TTK36" s="707"/>
      <c r="TTL36" s="707"/>
      <c r="TTM36" s="707"/>
      <c r="TTN36" s="707"/>
      <c r="TTO36" s="707"/>
      <c r="TTP36" s="707"/>
      <c r="TTQ36" s="707"/>
      <c r="TTR36" s="707"/>
      <c r="TTS36" s="707"/>
      <c r="TTT36" s="707"/>
      <c r="TTU36" s="707"/>
      <c r="TTV36" s="707"/>
      <c r="TTW36" s="707"/>
      <c r="TTX36" s="707"/>
      <c r="TTY36" s="707"/>
      <c r="TTZ36" s="707"/>
      <c r="TUA36" s="707"/>
      <c r="TUB36" s="707"/>
      <c r="TUC36" s="707"/>
      <c r="TUD36" s="707"/>
      <c r="TUE36" s="707"/>
      <c r="TUF36" s="707"/>
      <c r="TUG36" s="707"/>
      <c r="TUH36" s="707"/>
      <c r="TUI36" s="707"/>
      <c r="TUJ36" s="707"/>
      <c r="TUK36" s="707"/>
      <c r="TUL36" s="707"/>
      <c r="TUM36" s="707"/>
      <c r="TUN36" s="707"/>
      <c r="TUO36" s="707"/>
      <c r="TUP36" s="707"/>
      <c r="TUQ36" s="707"/>
      <c r="TUR36" s="707"/>
      <c r="TUS36" s="707"/>
      <c r="TUT36" s="707"/>
      <c r="TUU36" s="707"/>
      <c r="TUV36" s="707"/>
      <c r="TUW36" s="707"/>
      <c r="TUX36" s="707"/>
      <c r="TUY36" s="707"/>
      <c r="TUZ36" s="707"/>
      <c r="TVA36" s="707"/>
      <c r="TVB36" s="707"/>
      <c r="TVC36" s="707"/>
      <c r="TVD36" s="707"/>
      <c r="TVE36" s="707"/>
      <c r="TVF36" s="707"/>
      <c r="TVG36" s="707"/>
      <c r="TVH36" s="707"/>
      <c r="TVI36" s="707"/>
      <c r="TVJ36" s="707"/>
      <c r="TVK36" s="707"/>
      <c r="TVL36" s="707"/>
      <c r="TVM36" s="707"/>
      <c r="TVN36" s="707"/>
      <c r="TVO36" s="707"/>
      <c r="TVP36" s="707"/>
      <c r="TVQ36" s="707"/>
      <c r="TVR36" s="707"/>
      <c r="TVS36" s="707"/>
      <c r="TVT36" s="707"/>
      <c r="TVU36" s="707"/>
      <c r="TVV36" s="707"/>
      <c r="TVW36" s="707"/>
      <c r="TVX36" s="707"/>
      <c r="TVY36" s="707"/>
      <c r="TVZ36" s="707"/>
      <c r="TWA36" s="707"/>
      <c r="TWB36" s="707"/>
      <c r="TWC36" s="707"/>
      <c r="TWD36" s="707"/>
      <c r="TWE36" s="707"/>
      <c r="TWF36" s="707"/>
      <c r="TWG36" s="707"/>
      <c r="TWH36" s="707"/>
      <c r="TWI36" s="707"/>
      <c r="TWJ36" s="707"/>
      <c r="TWK36" s="707"/>
      <c r="TWL36" s="707"/>
      <c r="TWM36" s="707"/>
      <c r="TWN36" s="707"/>
      <c r="TWO36" s="707"/>
      <c r="TWP36" s="707"/>
      <c r="TWQ36" s="707"/>
      <c r="TWR36" s="707"/>
      <c r="TWS36" s="707"/>
      <c r="TWT36" s="707"/>
      <c r="TWU36" s="707"/>
      <c r="TWV36" s="707"/>
      <c r="TWW36" s="707"/>
      <c r="TWX36" s="707"/>
      <c r="TWY36" s="707"/>
      <c r="TWZ36" s="707"/>
      <c r="TXA36" s="707"/>
      <c r="TXB36" s="707"/>
      <c r="TXC36" s="707"/>
      <c r="TXD36" s="707"/>
      <c r="TXE36" s="707"/>
      <c r="TXF36" s="707"/>
      <c r="TXG36" s="707"/>
      <c r="TXH36" s="707"/>
      <c r="TXI36" s="707"/>
      <c r="TXJ36" s="707"/>
      <c r="TXK36" s="707"/>
      <c r="TXL36" s="707"/>
      <c r="TXM36" s="707"/>
      <c r="TXN36" s="707"/>
      <c r="TXO36" s="707"/>
      <c r="TXP36" s="707"/>
      <c r="TXQ36" s="707"/>
      <c r="TXR36" s="707"/>
      <c r="TXS36" s="707"/>
      <c r="TXT36" s="707"/>
      <c r="TXU36" s="707"/>
      <c r="TXV36" s="707"/>
      <c r="TXW36" s="707"/>
      <c r="TXX36" s="707"/>
      <c r="TXY36" s="707"/>
      <c r="TXZ36" s="707"/>
      <c r="TYA36" s="707"/>
      <c r="TYB36" s="707"/>
      <c r="TYC36" s="707"/>
      <c r="TYD36" s="707"/>
      <c r="TYE36" s="707"/>
      <c r="TYF36" s="707"/>
      <c r="TYG36" s="707"/>
      <c r="TYH36" s="707"/>
      <c r="TYI36" s="707"/>
      <c r="TYJ36" s="707"/>
      <c r="TYK36" s="707"/>
      <c r="TYL36" s="707"/>
      <c r="TYM36" s="707"/>
      <c r="TYN36" s="707"/>
      <c r="TYO36" s="707"/>
      <c r="TYP36" s="707"/>
      <c r="TYQ36" s="707"/>
      <c r="TYR36" s="707"/>
      <c r="TYS36" s="707"/>
      <c r="TYT36" s="707"/>
      <c r="TYU36" s="707"/>
      <c r="TYV36" s="707"/>
      <c r="TYW36" s="707"/>
      <c r="TYX36" s="707"/>
      <c r="TYY36" s="707"/>
      <c r="TYZ36" s="707"/>
      <c r="TZA36" s="707"/>
      <c r="TZB36" s="707"/>
      <c r="TZC36" s="707"/>
      <c r="TZD36" s="707"/>
      <c r="TZE36" s="707"/>
      <c r="TZF36" s="707"/>
      <c r="TZG36" s="707"/>
      <c r="TZH36" s="707"/>
      <c r="TZI36" s="707"/>
      <c r="TZJ36" s="707"/>
      <c r="TZK36" s="707"/>
      <c r="TZL36" s="707"/>
      <c r="TZM36" s="707"/>
      <c r="TZN36" s="707"/>
      <c r="TZO36" s="707"/>
      <c r="TZP36" s="707"/>
      <c r="TZQ36" s="707"/>
      <c r="TZR36" s="707"/>
      <c r="TZS36" s="707"/>
      <c r="TZT36" s="707"/>
      <c r="TZU36" s="707"/>
      <c r="TZV36" s="707"/>
      <c r="TZW36" s="707"/>
      <c r="TZX36" s="707"/>
      <c r="TZY36" s="707"/>
      <c r="TZZ36" s="707"/>
      <c r="UAA36" s="707"/>
      <c r="UAB36" s="707"/>
      <c r="UAC36" s="707"/>
      <c r="UAD36" s="707"/>
      <c r="UAE36" s="707"/>
      <c r="UAF36" s="707"/>
      <c r="UAG36" s="707"/>
      <c r="UAH36" s="707"/>
      <c r="UAI36" s="707"/>
      <c r="UAJ36" s="707"/>
      <c r="UAK36" s="707"/>
      <c r="UAL36" s="707"/>
      <c r="UAM36" s="707"/>
      <c r="UAN36" s="707"/>
      <c r="UAO36" s="707"/>
      <c r="UAP36" s="707"/>
      <c r="UAQ36" s="707"/>
      <c r="UAR36" s="707"/>
      <c r="UAS36" s="707"/>
      <c r="UAT36" s="707"/>
      <c r="UAU36" s="707"/>
      <c r="UAV36" s="707"/>
      <c r="UAW36" s="707"/>
      <c r="UAX36" s="707"/>
      <c r="UAY36" s="707"/>
      <c r="UAZ36" s="707"/>
      <c r="UBA36" s="707"/>
      <c r="UBB36" s="707"/>
      <c r="UBC36" s="707"/>
      <c r="UBD36" s="707"/>
      <c r="UBE36" s="707"/>
      <c r="UBF36" s="707"/>
      <c r="UBG36" s="707"/>
      <c r="UBH36" s="707"/>
      <c r="UBI36" s="707"/>
      <c r="UBJ36" s="707"/>
      <c r="UBK36" s="707"/>
      <c r="UBL36" s="707"/>
      <c r="UBM36" s="707"/>
      <c r="UBN36" s="707"/>
      <c r="UBO36" s="707"/>
      <c r="UBP36" s="707"/>
      <c r="UBQ36" s="707"/>
      <c r="UBR36" s="707"/>
      <c r="UBS36" s="707"/>
      <c r="UBT36" s="707"/>
      <c r="UBU36" s="707"/>
      <c r="UBV36" s="707"/>
      <c r="UBW36" s="707"/>
      <c r="UBX36" s="707"/>
      <c r="UBY36" s="707"/>
      <c r="UBZ36" s="707"/>
      <c r="UCA36" s="707"/>
      <c r="UCB36" s="707"/>
      <c r="UCC36" s="707"/>
      <c r="UCD36" s="707"/>
      <c r="UCE36" s="707"/>
      <c r="UCF36" s="707"/>
      <c r="UCG36" s="707"/>
      <c r="UCH36" s="707"/>
      <c r="UCI36" s="707"/>
      <c r="UCJ36" s="707"/>
      <c r="UCK36" s="707"/>
      <c r="UCL36" s="707"/>
      <c r="UCM36" s="707"/>
      <c r="UCN36" s="707"/>
      <c r="UCO36" s="707"/>
      <c r="UCP36" s="707"/>
      <c r="UCQ36" s="707"/>
      <c r="UCR36" s="707"/>
      <c r="UCS36" s="707"/>
      <c r="UCT36" s="707"/>
      <c r="UCU36" s="707"/>
      <c r="UCV36" s="707"/>
      <c r="UCW36" s="707"/>
      <c r="UCX36" s="707"/>
      <c r="UCY36" s="707"/>
      <c r="UCZ36" s="707"/>
      <c r="UDA36" s="707"/>
      <c r="UDB36" s="707"/>
      <c r="UDC36" s="707"/>
      <c r="UDD36" s="707"/>
      <c r="UDE36" s="707"/>
      <c r="UDF36" s="707"/>
      <c r="UDG36" s="707"/>
      <c r="UDH36" s="707"/>
      <c r="UDI36" s="707"/>
      <c r="UDJ36" s="707"/>
      <c r="UDK36" s="707"/>
      <c r="UDL36" s="707"/>
      <c r="UDM36" s="707"/>
      <c r="UDN36" s="707"/>
      <c r="UDO36" s="707"/>
      <c r="UDP36" s="707"/>
      <c r="UDQ36" s="707"/>
      <c r="UDR36" s="707"/>
      <c r="UDS36" s="707"/>
      <c r="UDT36" s="707"/>
      <c r="UDU36" s="707"/>
      <c r="UDV36" s="707"/>
      <c r="UDW36" s="707"/>
      <c r="UDX36" s="707"/>
      <c r="UDY36" s="707"/>
      <c r="UDZ36" s="707"/>
      <c r="UEA36" s="707"/>
      <c r="UEB36" s="707"/>
      <c r="UEC36" s="707"/>
      <c r="UED36" s="707"/>
      <c r="UEE36" s="707"/>
      <c r="UEF36" s="707"/>
      <c r="UEG36" s="707"/>
      <c r="UEH36" s="707"/>
      <c r="UEI36" s="707"/>
      <c r="UEJ36" s="707"/>
      <c r="UEK36" s="707"/>
      <c r="UEL36" s="707"/>
      <c r="UEM36" s="707"/>
      <c r="UEN36" s="707"/>
      <c r="UEO36" s="707"/>
      <c r="UEP36" s="707"/>
      <c r="UEQ36" s="707"/>
      <c r="UER36" s="707"/>
      <c r="UES36" s="707"/>
      <c r="UET36" s="707"/>
      <c r="UEU36" s="707"/>
      <c r="UEV36" s="707"/>
      <c r="UEW36" s="707"/>
      <c r="UEX36" s="707"/>
      <c r="UEY36" s="707"/>
      <c r="UEZ36" s="707"/>
      <c r="UFA36" s="707"/>
      <c r="UFB36" s="707"/>
      <c r="UFC36" s="707"/>
      <c r="UFD36" s="707"/>
      <c r="UFE36" s="707"/>
      <c r="UFF36" s="707"/>
      <c r="UFG36" s="707"/>
      <c r="UFH36" s="707"/>
      <c r="UFI36" s="707"/>
      <c r="UFJ36" s="707"/>
      <c r="UFK36" s="707"/>
      <c r="UFL36" s="707"/>
      <c r="UFM36" s="707"/>
      <c r="UFN36" s="707"/>
      <c r="UFO36" s="707"/>
      <c r="UFP36" s="707"/>
      <c r="UFQ36" s="707"/>
      <c r="UFR36" s="707"/>
      <c r="UFS36" s="707"/>
      <c r="UFT36" s="707"/>
      <c r="UFU36" s="707"/>
      <c r="UFV36" s="707"/>
      <c r="UFW36" s="707"/>
      <c r="UFX36" s="707"/>
      <c r="UFY36" s="707"/>
      <c r="UFZ36" s="707"/>
      <c r="UGA36" s="707"/>
      <c r="UGB36" s="707"/>
      <c r="UGC36" s="707"/>
      <c r="UGD36" s="707"/>
      <c r="UGE36" s="707"/>
      <c r="UGF36" s="707"/>
      <c r="UGG36" s="707"/>
      <c r="UGH36" s="707"/>
      <c r="UGI36" s="707"/>
      <c r="UGJ36" s="707"/>
      <c r="UGK36" s="707"/>
      <c r="UGL36" s="707"/>
      <c r="UGM36" s="707"/>
      <c r="UGN36" s="707"/>
      <c r="UGO36" s="707"/>
      <c r="UGP36" s="707"/>
      <c r="UGQ36" s="707"/>
      <c r="UGR36" s="707"/>
      <c r="UGS36" s="707"/>
      <c r="UGT36" s="707"/>
      <c r="UGU36" s="707"/>
      <c r="UGV36" s="707"/>
      <c r="UGW36" s="707"/>
      <c r="UGX36" s="707"/>
      <c r="UGY36" s="707"/>
      <c r="UGZ36" s="707"/>
      <c r="UHA36" s="707"/>
      <c r="UHB36" s="707"/>
      <c r="UHC36" s="707"/>
      <c r="UHD36" s="707"/>
      <c r="UHE36" s="707"/>
      <c r="UHF36" s="707"/>
      <c r="UHG36" s="707"/>
      <c r="UHH36" s="707"/>
      <c r="UHI36" s="707"/>
      <c r="UHJ36" s="707"/>
      <c r="UHK36" s="707"/>
      <c r="UHL36" s="707"/>
      <c r="UHM36" s="707"/>
      <c r="UHN36" s="707"/>
      <c r="UHO36" s="707"/>
      <c r="UHP36" s="707"/>
      <c r="UHQ36" s="707"/>
      <c r="UHR36" s="707"/>
      <c r="UHS36" s="707"/>
      <c r="UHT36" s="707"/>
      <c r="UHU36" s="707"/>
      <c r="UHV36" s="707"/>
      <c r="UHW36" s="707"/>
      <c r="UHX36" s="707"/>
      <c r="UHY36" s="707"/>
      <c r="UHZ36" s="707"/>
      <c r="UIA36" s="707"/>
      <c r="UIB36" s="707"/>
      <c r="UIC36" s="707"/>
      <c r="UID36" s="707"/>
      <c r="UIE36" s="707"/>
      <c r="UIF36" s="707"/>
      <c r="UIG36" s="707"/>
      <c r="UIH36" s="707"/>
      <c r="UII36" s="707"/>
      <c r="UIJ36" s="707"/>
      <c r="UIK36" s="707"/>
      <c r="UIL36" s="707"/>
      <c r="UIM36" s="707"/>
      <c r="UIN36" s="707"/>
      <c r="UIO36" s="707"/>
      <c r="UIP36" s="707"/>
      <c r="UIQ36" s="707"/>
      <c r="UIR36" s="707"/>
      <c r="UIS36" s="707"/>
      <c r="UIT36" s="707"/>
      <c r="UIU36" s="707"/>
      <c r="UIV36" s="707"/>
      <c r="UIW36" s="707"/>
      <c r="UIX36" s="707"/>
      <c r="UIY36" s="707"/>
      <c r="UIZ36" s="707"/>
      <c r="UJA36" s="707"/>
      <c r="UJB36" s="707"/>
      <c r="UJC36" s="707"/>
      <c r="UJD36" s="707"/>
      <c r="UJE36" s="707"/>
      <c r="UJF36" s="707"/>
      <c r="UJG36" s="707"/>
      <c r="UJH36" s="707"/>
      <c r="UJI36" s="707"/>
      <c r="UJJ36" s="707"/>
      <c r="UJK36" s="707"/>
      <c r="UJL36" s="707"/>
      <c r="UJM36" s="707"/>
      <c r="UJN36" s="707"/>
      <c r="UJO36" s="707"/>
      <c r="UJP36" s="707"/>
      <c r="UJQ36" s="707"/>
      <c r="UJR36" s="707"/>
      <c r="UJS36" s="707"/>
      <c r="UJT36" s="707"/>
      <c r="UJU36" s="707"/>
      <c r="UJV36" s="707"/>
      <c r="UJW36" s="707"/>
      <c r="UJX36" s="707"/>
      <c r="UJY36" s="707"/>
      <c r="UJZ36" s="707"/>
      <c r="UKA36" s="707"/>
      <c r="UKB36" s="707"/>
      <c r="UKC36" s="707"/>
      <c r="UKD36" s="707"/>
      <c r="UKE36" s="707"/>
      <c r="UKF36" s="707"/>
      <c r="UKG36" s="707"/>
      <c r="UKH36" s="707"/>
      <c r="UKI36" s="707"/>
      <c r="UKJ36" s="707"/>
      <c r="UKK36" s="707"/>
      <c r="UKL36" s="707"/>
      <c r="UKM36" s="707"/>
      <c r="UKN36" s="707"/>
      <c r="UKO36" s="707"/>
      <c r="UKP36" s="707"/>
      <c r="UKQ36" s="707"/>
      <c r="UKR36" s="707"/>
      <c r="UKS36" s="707"/>
      <c r="UKT36" s="707"/>
      <c r="UKU36" s="707"/>
      <c r="UKV36" s="707"/>
      <c r="UKW36" s="707"/>
      <c r="UKX36" s="707"/>
      <c r="UKY36" s="707"/>
      <c r="UKZ36" s="707"/>
      <c r="ULA36" s="707"/>
      <c r="ULB36" s="707"/>
      <c r="ULC36" s="707"/>
      <c r="ULD36" s="707"/>
      <c r="ULE36" s="707"/>
      <c r="ULF36" s="707"/>
      <c r="ULG36" s="707"/>
      <c r="ULH36" s="707"/>
      <c r="ULI36" s="707"/>
      <c r="ULJ36" s="707"/>
      <c r="ULK36" s="707"/>
      <c r="ULL36" s="707"/>
      <c r="ULM36" s="707"/>
      <c r="ULN36" s="707"/>
      <c r="ULO36" s="707"/>
      <c r="ULP36" s="707"/>
      <c r="ULQ36" s="707"/>
      <c r="ULR36" s="707"/>
      <c r="ULS36" s="707"/>
      <c r="ULT36" s="707"/>
      <c r="ULU36" s="707"/>
      <c r="ULV36" s="707"/>
      <c r="ULW36" s="707"/>
      <c r="ULX36" s="707"/>
      <c r="ULY36" s="707"/>
      <c r="ULZ36" s="707"/>
      <c r="UMA36" s="707"/>
      <c r="UMB36" s="707"/>
      <c r="UMC36" s="707"/>
      <c r="UMD36" s="707"/>
      <c r="UME36" s="707"/>
      <c r="UMF36" s="707"/>
      <c r="UMG36" s="707"/>
      <c r="UMH36" s="707"/>
      <c r="UMI36" s="707"/>
      <c r="UMJ36" s="707"/>
      <c r="UMK36" s="707"/>
      <c r="UML36" s="707"/>
      <c r="UMM36" s="707"/>
      <c r="UMN36" s="707"/>
      <c r="UMO36" s="707"/>
      <c r="UMP36" s="707"/>
      <c r="UMQ36" s="707"/>
      <c r="UMR36" s="707"/>
      <c r="UMS36" s="707"/>
      <c r="UMT36" s="707"/>
      <c r="UMU36" s="707"/>
      <c r="UMV36" s="707"/>
      <c r="UMW36" s="707"/>
      <c r="UMX36" s="707"/>
      <c r="UMY36" s="707"/>
      <c r="UMZ36" s="707"/>
      <c r="UNA36" s="707"/>
      <c r="UNB36" s="707"/>
      <c r="UNC36" s="707"/>
      <c r="UND36" s="707"/>
      <c r="UNE36" s="707"/>
      <c r="UNF36" s="707"/>
      <c r="UNG36" s="707"/>
      <c r="UNH36" s="707"/>
      <c r="UNI36" s="707"/>
      <c r="UNJ36" s="707"/>
      <c r="UNK36" s="707"/>
      <c r="UNL36" s="707"/>
      <c r="UNM36" s="707"/>
      <c r="UNN36" s="707"/>
      <c r="UNO36" s="707"/>
      <c r="UNP36" s="707"/>
      <c r="UNQ36" s="707"/>
      <c r="UNR36" s="707"/>
      <c r="UNS36" s="707"/>
      <c r="UNT36" s="707"/>
      <c r="UNU36" s="707"/>
      <c r="UNV36" s="707"/>
      <c r="UNW36" s="707"/>
      <c r="UNX36" s="707"/>
      <c r="UNY36" s="707"/>
      <c r="UNZ36" s="707"/>
      <c r="UOA36" s="707"/>
      <c r="UOB36" s="707"/>
      <c r="UOC36" s="707"/>
      <c r="UOD36" s="707"/>
      <c r="UOE36" s="707"/>
      <c r="UOF36" s="707"/>
      <c r="UOG36" s="707"/>
      <c r="UOH36" s="707"/>
      <c r="UOI36" s="707"/>
      <c r="UOJ36" s="707"/>
      <c r="UOK36" s="707"/>
      <c r="UOL36" s="707"/>
      <c r="UOM36" s="707"/>
      <c r="UON36" s="707"/>
      <c r="UOO36" s="707"/>
      <c r="UOP36" s="707"/>
      <c r="UOQ36" s="707"/>
      <c r="UOR36" s="707"/>
      <c r="UOS36" s="707"/>
      <c r="UOT36" s="707"/>
      <c r="UOU36" s="707"/>
      <c r="UOV36" s="707"/>
      <c r="UOW36" s="707"/>
      <c r="UOX36" s="707"/>
      <c r="UOY36" s="707"/>
      <c r="UOZ36" s="707"/>
      <c r="UPA36" s="707"/>
      <c r="UPB36" s="707"/>
      <c r="UPC36" s="707"/>
      <c r="UPD36" s="707"/>
      <c r="UPE36" s="707"/>
      <c r="UPF36" s="707"/>
      <c r="UPG36" s="707"/>
      <c r="UPH36" s="707"/>
      <c r="UPI36" s="707"/>
      <c r="UPJ36" s="707"/>
      <c r="UPK36" s="707"/>
      <c r="UPL36" s="707"/>
      <c r="UPM36" s="707"/>
      <c r="UPN36" s="707"/>
      <c r="UPO36" s="707"/>
      <c r="UPP36" s="707"/>
      <c r="UPQ36" s="707"/>
      <c r="UPR36" s="707"/>
      <c r="UPS36" s="707"/>
      <c r="UPT36" s="707"/>
      <c r="UPU36" s="707"/>
      <c r="UPV36" s="707"/>
      <c r="UPW36" s="707"/>
      <c r="UPX36" s="707"/>
      <c r="UPY36" s="707"/>
      <c r="UPZ36" s="707"/>
      <c r="UQA36" s="707"/>
      <c r="UQB36" s="707"/>
      <c r="UQC36" s="707"/>
      <c r="UQD36" s="707"/>
      <c r="UQE36" s="707"/>
      <c r="UQF36" s="707"/>
      <c r="UQG36" s="707"/>
      <c r="UQH36" s="707"/>
      <c r="UQI36" s="707"/>
      <c r="UQJ36" s="707"/>
      <c r="UQK36" s="707"/>
      <c r="UQL36" s="707"/>
      <c r="UQM36" s="707"/>
      <c r="UQN36" s="707"/>
      <c r="UQO36" s="707"/>
      <c r="UQP36" s="707"/>
      <c r="UQQ36" s="707"/>
      <c r="UQR36" s="707"/>
      <c r="UQS36" s="707"/>
      <c r="UQT36" s="707"/>
      <c r="UQU36" s="707"/>
      <c r="UQV36" s="707"/>
      <c r="UQW36" s="707"/>
      <c r="UQX36" s="707"/>
      <c r="UQY36" s="707"/>
      <c r="UQZ36" s="707"/>
      <c r="URA36" s="707"/>
      <c r="URB36" s="707"/>
      <c r="URC36" s="707"/>
      <c r="URD36" s="707"/>
      <c r="URE36" s="707"/>
      <c r="URF36" s="707"/>
      <c r="URG36" s="707"/>
      <c r="URH36" s="707"/>
      <c r="URI36" s="707"/>
      <c r="URJ36" s="707"/>
      <c r="URK36" s="707"/>
      <c r="URL36" s="707"/>
      <c r="URM36" s="707"/>
      <c r="URN36" s="707"/>
      <c r="URO36" s="707"/>
      <c r="URP36" s="707"/>
      <c r="URQ36" s="707"/>
      <c r="URR36" s="707"/>
      <c r="URS36" s="707"/>
      <c r="URT36" s="707"/>
      <c r="URU36" s="707"/>
      <c r="URV36" s="707"/>
      <c r="URW36" s="707"/>
      <c r="URX36" s="707"/>
      <c r="URY36" s="707"/>
      <c r="URZ36" s="707"/>
      <c r="USA36" s="707"/>
      <c r="USB36" s="707"/>
      <c r="USC36" s="707"/>
      <c r="USD36" s="707"/>
      <c r="USE36" s="707"/>
      <c r="USF36" s="707"/>
      <c r="USG36" s="707"/>
      <c r="USH36" s="707"/>
      <c r="USI36" s="707"/>
      <c r="USJ36" s="707"/>
      <c r="USK36" s="707"/>
      <c r="USL36" s="707"/>
      <c r="USM36" s="707"/>
      <c r="USN36" s="707"/>
      <c r="USO36" s="707"/>
      <c r="USP36" s="707"/>
      <c r="USQ36" s="707"/>
      <c r="USR36" s="707"/>
      <c r="USS36" s="707"/>
      <c r="UST36" s="707"/>
      <c r="USU36" s="707"/>
      <c r="USV36" s="707"/>
      <c r="USW36" s="707"/>
      <c r="USX36" s="707"/>
      <c r="USY36" s="707"/>
      <c r="USZ36" s="707"/>
      <c r="UTA36" s="707"/>
      <c r="UTB36" s="707"/>
      <c r="UTC36" s="707"/>
      <c r="UTD36" s="707"/>
      <c r="UTE36" s="707"/>
      <c r="UTF36" s="707"/>
      <c r="UTG36" s="707"/>
      <c r="UTH36" s="707"/>
      <c r="UTI36" s="707"/>
      <c r="UTJ36" s="707"/>
      <c r="UTK36" s="707"/>
      <c r="UTL36" s="707"/>
      <c r="UTM36" s="707"/>
      <c r="UTN36" s="707"/>
      <c r="UTO36" s="707"/>
      <c r="UTP36" s="707"/>
      <c r="UTQ36" s="707"/>
      <c r="UTR36" s="707"/>
      <c r="UTS36" s="707"/>
      <c r="UTT36" s="707"/>
      <c r="UTU36" s="707"/>
      <c r="UTV36" s="707"/>
      <c r="UTW36" s="707"/>
      <c r="UTX36" s="707"/>
      <c r="UTY36" s="707"/>
      <c r="UTZ36" s="707"/>
      <c r="UUA36" s="707"/>
      <c r="UUB36" s="707"/>
      <c r="UUC36" s="707"/>
      <c r="UUD36" s="707"/>
      <c r="UUE36" s="707"/>
      <c r="UUF36" s="707"/>
      <c r="UUG36" s="707"/>
      <c r="UUH36" s="707"/>
      <c r="UUI36" s="707"/>
      <c r="UUJ36" s="707"/>
      <c r="UUK36" s="707"/>
      <c r="UUL36" s="707"/>
      <c r="UUM36" s="707"/>
      <c r="UUN36" s="707"/>
      <c r="UUO36" s="707"/>
      <c r="UUP36" s="707"/>
      <c r="UUQ36" s="707"/>
      <c r="UUR36" s="707"/>
      <c r="UUS36" s="707"/>
      <c r="UUT36" s="707"/>
      <c r="UUU36" s="707"/>
      <c r="UUV36" s="707"/>
      <c r="UUW36" s="707"/>
      <c r="UUX36" s="707"/>
      <c r="UUY36" s="707"/>
      <c r="UUZ36" s="707"/>
      <c r="UVA36" s="707"/>
      <c r="UVB36" s="707"/>
      <c r="UVC36" s="707"/>
      <c r="UVD36" s="707"/>
      <c r="UVE36" s="707"/>
      <c r="UVF36" s="707"/>
      <c r="UVG36" s="707"/>
      <c r="UVH36" s="707"/>
      <c r="UVI36" s="707"/>
      <c r="UVJ36" s="707"/>
      <c r="UVK36" s="707"/>
      <c r="UVL36" s="707"/>
      <c r="UVM36" s="707"/>
      <c r="UVN36" s="707"/>
      <c r="UVO36" s="707"/>
      <c r="UVP36" s="707"/>
      <c r="UVQ36" s="707"/>
      <c r="UVR36" s="707"/>
      <c r="UVS36" s="707"/>
      <c r="UVT36" s="707"/>
      <c r="UVU36" s="707"/>
      <c r="UVV36" s="707"/>
      <c r="UVW36" s="707"/>
      <c r="UVX36" s="707"/>
      <c r="UVY36" s="707"/>
      <c r="UVZ36" s="707"/>
      <c r="UWA36" s="707"/>
      <c r="UWB36" s="707"/>
      <c r="UWC36" s="707"/>
      <c r="UWD36" s="707"/>
      <c r="UWE36" s="707"/>
      <c r="UWF36" s="707"/>
      <c r="UWG36" s="707"/>
      <c r="UWH36" s="707"/>
      <c r="UWI36" s="707"/>
      <c r="UWJ36" s="707"/>
      <c r="UWK36" s="707"/>
      <c r="UWL36" s="707"/>
      <c r="UWM36" s="707"/>
      <c r="UWN36" s="707"/>
      <c r="UWO36" s="707"/>
      <c r="UWP36" s="707"/>
      <c r="UWQ36" s="707"/>
      <c r="UWR36" s="707"/>
      <c r="UWS36" s="707"/>
      <c r="UWT36" s="707"/>
      <c r="UWU36" s="707"/>
      <c r="UWV36" s="707"/>
      <c r="UWW36" s="707"/>
      <c r="UWX36" s="707"/>
      <c r="UWY36" s="707"/>
      <c r="UWZ36" s="707"/>
      <c r="UXA36" s="707"/>
      <c r="UXB36" s="707"/>
      <c r="UXC36" s="707"/>
      <c r="UXD36" s="707"/>
      <c r="UXE36" s="707"/>
      <c r="UXF36" s="707"/>
      <c r="UXG36" s="707"/>
      <c r="UXH36" s="707"/>
      <c r="UXI36" s="707"/>
      <c r="UXJ36" s="707"/>
      <c r="UXK36" s="707"/>
      <c r="UXL36" s="707"/>
      <c r="UXM36" s="707"/>
      <c r="UXN36" s="707"/>
      <c r="UXO36" s="707"/>
      <c r="UXP36" s="707"/>
      <c r="UXQ36" s="707"/>
      <c r="UXR36" s="707"/>
      <c r="UXS36" s="707"/>
      <c r="UXT36" s="707"/>
      <c r="UXU36" s="707"/>
      <c r="UXV36" s="707"/>
      <c r="UXW36" s="707"/>
      <c r="UXX36" s="707"/>
      <c r="UXY36" s="707"/>
      <c r="UXZ36" s="707"/>
      <c r="UYA36" s="707"/>
      <c r="UYB36" s="707"/>
      <c r="UYC36" s="707"/>
      <c r="UYD36" s="707"/>
      <c r="UYE36" s="707"/>
      <c r="UYF36" s="707"/>
      <c r="UYG36" s="707"/>
      <c r="UYH36" s="707"/>
      <c r="UYI36" s="707"/>
      <c r="UYJ36" s="707"/>
      <c r="UYK36" s="707"/>
      <c r="UYL36" s="707"/>
      <c r="UYM36" s="707"/>
      <c r="UYN36" s="707"/>
      <c r="UYO36" s="707"/>
      <c r="UYP36" s="707"/>
      <c r="UYQ36" s="707"/>
      <c r="UYR36" s="707"/>
      <c r="UYS36" s="707"/>
      <c r="UYT36" s="707"/>
      <c r="UYU36" s="707"/>
      <c r="UYV36" s="707"/>
      <c r="UYW36" s="707"/>
      <c r="UYX36" s="707"/>
      <c r="UYY36" s="707"/>
      <c r="UYZ36" s="707"/>
      <c r="UZA36" s="707"/>
      <c r="UZB36" s="707"/>
      <c r="UZC36" s="707"/>
      <c r="UZD36" s="707"/>
      <c r="UZE36" s="707"/>
      <c r="UZF36" s="707"/>
      <c r="UZG36" s="707"/>
      <c r="UZH36" s="707"/>
      <c r="UZI36" s="707"/>
      <c r="UZJ36" s="707"/>
      <c r="UZK36" s="707"/>
      <c r="UZL36" s="707"/>
      <c r="UZM36" s="707"/>
      <c r="UZN36" s="707"/>
      <c r="UZO36" s="707"/>
      <c r="UZP36" s="707"/>
      <c r="UZQ36" s="707"/>
      <c r="UZR36" s="707"/>
      <c r="UZS36" s="707"/>
      <c r="UZT36" s="707"/>
      <c r="UZU36" s="707"/>
      <c r="UZV36" s="707"/>
      <c r="UZW36" s="707"/>
      <c r="UZX36" s="707"/>
      <c r="UZY36" s="707"/>
      <c r="UZZ36" s="707"/>
      <c r="VAA36" s="707"/>
      <c r="VAB36" s="707"/>
      <c r="VAC36" s="707"/>
      <c r="VAD36" s="707"/>
      <c r="VAE36" s="707"/>
      <c r="VAF36" s="707"/>
      <c r="VAG36" s="707"/>
      <c r="VAH36" s="707"/>
      <c r="VAI36" s="707"/>
      <c r="VAJ36" s="707"/>
      <c r="VAK36" s="707"/>
      <c r="VAL36" s="707"/>
      <c r="VAM36" s="707"/>
      <c r="VAN36" s="707"/>
      <c r="VAO36" s="707"/>
      <c r="VAP36" s="707"/>
      <c r="VAQ36" s="707"/>
      <c r="VAR36" s="707"/>
      <c r="VAS36" s="707"/>
      <c r="VAT36" s="707"/>
      <c r="VAU36" s="707"/>
      <c r="VAV36" s="707"/>
      <c r="VAW36" s="707"/>
      <c r="VAX36" s="707"/>
      <c r="VAY36" s="707"/>
      <c r="VAZ36" s="707"/>
      <c r="VBA36" s="707"/>
      <c r="VBB36" s="707"/>
      <c r="VBC36" s="707"/>
      <c r="VBD36" s="707"/>
      <c r="VBE36" s="707"/>
      <c r="VBF36" s="707"/>
      <c r="VBG36" s="707"/>
      <c r="VBH36" s="707"/>
      <c r="VBI36" s="707"/>
      <c r="VBJ36" s="707"/>
      <c r="VBK36" s="707"/>
      <c r="VBL36" s="707"/>
      <c r="VBM36" s="707"/>
      <c r="VBN36" s="707"/>
      <c r="VBO36" s="707"/>
      <c r="VBP36" s="707"/>
      <c r="VBQ36" s="707"/>
      <c r="VBR36" s="707"/>
      <c r="VBS36" s="707"/>
      <c r="VBT36" s="707"/>
      <c r="VBU36" s="707"/>
      <c r="VBV36" s="707"/>
      <c r="VBW36" s="707"/>
      <c r="VBX36" s="707"/>
      <c r="VBY36" s="707"/>
      <c r="VBZ36" s="707"/>
      <c r="VCA36" s="707"/>
      <c r="VCB36" s="707"/>
      <c r="VCC36" s="707"/>
      <c r="VCD36" s="707"/>
      <c r="VCE36" s="707"/>
      <c r="VCF36" s="707"/>
      <c r="VCG36" s="707"/>
      <c r="VCH36" s="707"/>
      <c r="VCI36" s="707"/>
      <c r="VCJ36" s="707"/>
      <c r="VCK36" s="707"/>
      <c r="VCL36" s="707"/>
      <c r="VCM36" s="707"/>
      <c r="VCN36" s="707"/>
      <c r="VCO36" s="707"/>
      <c r="VCP36" s="707"/>
      <c r="VCQ36" s="707"/>
      <c r="VCR36" s="707"/>
      <c r="VCS36" s="707"/>
      <c r="VCT36" s="707"/>
      <c r="VCU36" s="707"/>
      <c r="VCV36" s="707"/>
      <c r="VCW36" s="707"/>
      <c r="VCX36" s="707"/>
      <c r="VCY36" s="707"/>
      <c r="VCZ36" s="707"/>
      <c r="VDA36" s="707"/>
      <c r="VDB36" s="707"/>
      <c r="VDC36" s="707"/>
      <c r="VDD36" s="707"/>
      <c r="VDE36" s="707"/>
      <c r="VDF36" s="707"/>
      <c r="VDG36" s="707"/>
      <c r="VDH36" s="707"/>
      <c r="VDI36" s="707"/>
      <c r="VDJ36" s="707"/>
      <c r="VDK36" s="707"/>
      <c r="VDL36" s="707"/>
      <c r="VDM36" s="707"/>
      <c r="VDN36" s="707"/>
      <c r="VDO36" s="707"/>
      <c r="VDP36" s="707"/>
      <c r="VDQ36" s="707"/>
      <c r="VDR36" s="707"/>
      <c r="VDS36" s="707"/>
      <c r="VDT36" s="707"/>
      <c r="VDU36" s="707"/>
      <c r="VDV36" s="707"/>
      <c r="VDW36" s="707"/>
      <c r="VDX36" s="707"/>
      <c r="VDY36" s="707"/>
      <c r="VDZ36" s="707"/>
      <c r="VEA36" s="707"/>
      <c r="VEB36" s="707"/>
      <c r="VEC36" s="707"/>
      <c r="VED36" s="707"/>
      <c r="VEE36" s="707"/>
      <c r="VEF36" s="707"/>
      <c r="VEG36" s="707"/>
      <c r="VEH36" s="707"/>
      <c r="VEI36" s="707"/>
      <c r="VEJ36" s="707"/>
      <c r="VEK36" s="707"/>
      <c r="VEL36" s="707"/>
      <c r="VEM36" s="707"/>
      <c r="VEN36" s="707"/>
      <c r="VEO36" s="707"/>
      <c r="VEP36" s="707"/>
      <c r="VEQ36" s="707"/>
      <c r="VER36" s="707"/>
      <c r="VES36" s="707"/>
      <c r="VET36" s="707"/>
      <c r="VEU36" s="707"/>
      <c r="VEV36" s="707"/>
      <c r="VEW36" s="707"/>
      <c r="VEX36" s="707"/>
      <c r="VEY36" s="707"/>
      <c r="VEZ36" s="707"/>
      <c r="VFA36" s="707"/>
      <c r="VFB36" s="707"/>
      <c r="VFC36" s="707"/>
      <c r="VFD36" s="707"/>
      <c r="VFE36" s="707"/>
      <c r="VFF36" s="707"/>
      <c r="VFG36" s="707"/>
      <c r="VFH36" s="707"/>
      <c r="VFI36" s="707"/>
      <c r="VFJ36" s="707"/>
      <c r="VFK36" s="707"/>
      <c r="VFL36" s="707"/>
      <c r="VFM36" s="707"/>
      <c r="VFN36" s="707"/>
      <c r="VFO36" s="707"/>
      <c r="VFP36" s="707"/>
      <c r="VFQ36" s="707"/>
      <c r="VFR36" s="707"/>
      <c r="VFS36" s="707"/>
      <c r="VFT36" s="707"/>
      <c r="VFU36" s="707"/>
      <c r="VFV36" s="707"/>
      <c r="VFW36" s="707"/>
      <c r="VFX36" s="707"/>
      <c r="VFY36" s="707"/>
      <c r="VFZ36" s="707"/>
      <c r="VGA36" s="707"/>
      <c r="VGB36" s="707"/>
      <c r="VGC36" s="707"/>
      <c r="VGD36" s="707"/>
      <c r="VGE36" s="707"/>
      <c r="VGF36" s="707"/>
      <c r="VGG36" s="707"/>
      <c r="VGH36" s="707"/>
      <c r="VGI36" s="707"/>
      <c r="VGJ36" s="707"/>
      <c r="VGK36" s="707"/>
      <c r="VGL36" s="707"/>
      <c r="VGM36" s="707"/>
      <c r="VGN36" s="707"/>
      <c r="VGO36" s="707"/>
      <c r="VGP36" s="707"/>
      <c r="VGQ36" s="707"/>
      <c r="VGR36" s="707"/>
      <c r="VGS36" s="707"/>
      <c r="VGT36" s="707"/>
      <c r="VGU36" s="707"/>
      <c r="VGV36" s="707"/>
      <c r="VGW36" s="707"/>
      <c r="VGX36" s="707"/>
      <c r="VGY36" s="707"/>
      <c r="VGZ36" s="707"/>
      <c r="VHA36" s="707"/>
      <c r="VHB36" s="707"/>
      <c r="VHC36" s="707"/>
      <c r="VHD36" s="707"/>
      <c r="VHE36" s="707"/>
      <c r="VHF36" s="707"/>
      <c r="VHG36" s="707"/>
      <c r="VHH36" s="707"/>
      <c r="VHI36" s="707"/>
      <c r="VHJ36" s="707"/>
      <c r="VHK36" s="707"/>
      <c r="VHL36" s="707"/>
      <c r="VHM36" s="707"/>
      <c r="VHN36" s="707"/>
      <c r="VHO36" s="707"/>
      <c r="VHP36" s="707"/>
      <c r="VHQ36" s="707"/>
      <c r="VHR36" s="707"/>
      <c r="VHS36" s="707"/>
      <c r="VHT36" s="707"/>
      <c r="VHU36" s="707"/>
      <c r="VHV36" s="707"/>
      <c r="VHW36" s="707"/>
      <c r="VHX36" s="707"/>
      <c r="VHY36" s="707"/>
      <c r="VHZ36" s="707"/>
      <c r="VIA36" s="707"/>
      <c r="VIB36" s="707"/>
      <c r="VIC36" s="707"/>
      <c r="VID36" s="707"/>
      <c r="VIE36" s="707"/>
      <c r="VIF36" s="707"/>
      <c r="VIG36" s="707"/>
      <c r="VIH36" s="707"/>
      <c r="VII36" s="707"/>
      <c r="VIJ36" s="707"/>
      <c r="VIK36" s="707"/>
      <c r="VIL36" s="707"/>
      <c r="VIM36" s="707"/>
      <c r="VIN36" s="707"/>
      <c r="VIO36" s="707"/>
      <c r="VIP36" s="707"/>
      <c r="VIQ36" s="707"/>
      <c r="VIR36" s="707"/>
      <c r="VIS36" s="707"/>
      <c r="VIT36" s="707"/>
      <c r="VIU36" s="707"/>
      <c r="VIV36" s="707"/>
      <c r="VIW36" s="707"/>
      <c r="VIX36" s="707"/>
      <c r="VIY36" s="707"/>
      <c r="VIZ36" s="707"/>
      <c r="VJA36" s="707"/>
      <c r="VJB36" s="707"/>
      <c r="VJC36" s="707"/>
      <c r="VJD36" s="707"/>
      <c r="VJE36" s="707"/>
      <c r="VJF36" s="707"/>
      <c r="VJG36" s="707"/>
      <c r="VJH36" s="707"/>
      <c r="VJI36" s="707"/>
      <c r="VJJ36" s="707"/>
      <c r="VJK36" s="707"/>
      <c r="VJL36" s="707"/>
      <c r="VJM36" s="707"/>
      <c r="VJN36" s="707"/>
      <c r="VJO36" s="707"/>
      <c r="VJP36" s="707"/>
      <c r="VJQ36" s="707"/>
      <c r="VJR36" s="707"/>
      <c r="VJS36" s="707"/>
      <c r="VJT36" s="707"/>
      <c r="VJU36" s="707"/>
      <c r="VJV36" s="707"/>
      <c r="VJW36" s="707"/>
      <c r="VJX36" s="707"/>
      <c r="VJY36" s="707"/>
      <c r="VJZ36" s="707"/>
      <c r="VKA36" s="707"/>
      <c r="VKB36" s="707"/>
      <c r="VKC36" s="707"/>
      <c r="VKD36" s="707"/>
      <c r="VKE36" s="707"/>
      <c r="VKF36" s="707"/>
      <c r="VKG36" s="707"/>
      <c r="VKH36" s="707"/>
      <c r="VKI36" s="707"/>
      <c r="VKJ36" s="707"/>
      <c r="VKK36" s="707"/>
      <c r="VKL36" s="707"/>
      <c r="VKM36" s="707"/>
      <c r="VKN36" s="707"/>
      <c r="VKO36" s="707"/>
      <c r="VKP36" s="707"/>
      <c r="VKQ36" s="707"/>
      <c r="VKR36" s="707"/>
      <c r="VKS36" s="707"/>
      <c r="VKT36" s="707"/>
      <c r="VKU36" s="707"/>
      <c r="VKV36" s="707"/>
      <c r="VKW36" s="707"/>
      <c r="VKX36" s="707"/>
      <c r="VKY36" s="707"/>
      <c r="VKZ36" s="707"/>
      <c r="VLA36" s="707"/>
      <c r="VLB36" s="707"/>
      <c r="VLC36" s="707"/>
      <c r="VLD36" s="707"/>
      <c r="VLE36" s="707"/>
      <c r="VLF36" s="707"/>
      <c r="VLG36" s="707"/>
      <c r="VLH36" s="707"/>
      <c r="VLI36" s="707"/>
      <c r="VLJ36" s="707"/>
      <c r="VLK36" s="707"/>
      <c r="VLL36" s="707"/>
      <c r="VLM36" s="707"/>
      <c r="VLN36" s="707"/>
      <c r="VLO36" s="707"/>
      <c r="VLP36" s="707"/>
      <c r="VLQ36" s="707"/>
      <c r="VLR36" s="707"/>
      <c r="VLS36" s="707"/>
      <c r="VLT36" s="707"/>
      <c r="VLU36" s="707"/>
      <c r="VLV36" s="707"/>
      <c r="VLW36" s="707"/>
      <c r="VLX36" s="707"/>
      <c r="VLY36" s="707"/>
      <c r="VLZ36" s="707"/>
      <c r="VMA36" s="707"/>
      <c r="VMB36" s="707"/>
      <c r="VMC36" s="707"/>
      <c r="VMD36" s="707"/>
      <c r="VME36" s="707"/>
      <c r="VMF36" s="707"/>
      <c r="VMG36" s="707"/>
      <c r="VMH36" s="707"/>
      <c r="VMI36" s="707"/>
      <c r="VMJ36" s="707"/>
      <c r="VMK36" s="707"/>
      <c r="VML36" s="707"/>
      <c r="VMM36" s="707"/>
      <c r="VMN36" s="707"/>
      <c r="VMO36" s="707"/>
      <c r="VMP36" s="707"/>
      <c r="VMQ36" s="707"/>
      <c r="VMR36" s="707"/>
      <c r="VMS36" s="707"/>
      <c r="VMT36" s="707"/>
      <c r="VMU36" s="707"/>
      <c r="VMV36" s="707"/>
      <c r="VMW36" s="707"/>
      <c r="VMX36" s="707"/>
      <c r="VMY36" s="707"/>
      <c r="VMZ36" s="707"/>
      <c r="VNA36" s="707"/>
      <c r="VNB36" s="707"/>
      <c r="VNC36" s="707"/>
      <c r="VND36" s="707"/>
      <c r="VNE36" s="707"/>
      <c r="VNF36" s="707"/>
      <c r="VNG36" s="707"/>
      <c r="VNH36" s="707"/>
      <c r="VNI36" s="707"/>
      <c r="VNJ36" s="707"/>
      <c r="VNK36" s="707"/>
      <c r="VNL36" s="707"/>
      <c r="VNM36" s="707"/>
      <c r="VNN36" s="707"/>
      <c r="VNO36" s="707"/>
      <c r="VNP36" s="707"/>
      <c r="VNQ36" s="707"/>
      <c r="VNR36" s="707"/>
      <c r="VNS36" s="707"/>
      <c r="VNT36" s="707"/>
      <c r="VNU36" s="707"/>
      <c r="VNV36" s="707"/>
      <c r="VNW36" s="707"/>
      <c r="VNX36" s="707"/>
      <c r="VNY36" s="707"/>
      <c r="VNZ36" s="707"/>
      <c r="VOA36" s="707"/>
      <c r="VOB36" s="707"/>
      <c r="VOC36" s="707"/>
      <c r="VOD36" s="707"/>
      <c r="VOE36" s="707"/>
      <c r="VOF36" s="707"/>
      <c r="VOG36" s="707"/>
      <c r="VOH36" s="707"/>
      <c r="VOI36" s="707"/>
      <c r="VOJ36" s="707"/>
      <c r="VOK36" s="707"/>
      <c r="VOL36" s="707"/>
      <c r="VOM36" s="707"/>
      <c r="VON36" s="707"/>
      <c r="VOO36" s="707"/>
      <c r="VOP36" s="707"/>
      <c r="VOQ36" s="707"/>
      <c r="VOR36" s="707"/>
      <c r="VOS36" s="707"/>
      <c r="VOT36" s="707"/>
      <c r="VOU36" s="707"/>
      <c r="VOV36" s="707"/>
      <c r="VOW36" s="707"/>
      <c r="VOX36" s="707"/>
      <c r="VOY36" s="707"/>
      <c r="VOZ36" s="707"/>
      <c r="VPA36" s="707"/>
      <c r="VPB36" s="707"/>
      <c r="VPC36" s="707"/>
      <c r="VPD36" s="707"/>
      <c r="VPE36" s="707"/>
      <c r="VPF36" s="707"/>
      <c r="VPG36" s="707"/>
      <c r="VPH36" s="707"/>
      <c r="VPI36" s="707"/>
      <c r="VPJ36" s="707"/>
      <c r="VPK36" s="707"/>
      <c r="VPL36" s="707"/>
      <c r="VPM36" s="707"/>
      <c r="VPN36" s="707"/>
      <c r="VPO36" s="707"/>
      <c r="VPP36" s="707"/>
      <c r="VPQ36" s="707"/>
      <c r="VPR36" s="707"/>
      <c r="VPS36" s="707"/>
      <c r="VPT36" s="707"/>
      <c r="VPU36" s="707"/>
      <c r="VPV36" s="707"/>
      <c r="VPW36" s="707"/>
      <c r="VPX36" s="707"/>
      <c r="VPY36" s="707"/>
      <c r="VPZ36" s="707"/>
      <c r="VQA36" s="707"/>
      <c r="VQB36" s="707"/>
      <c r="VQC36" s="707"/>
      <c r="VQD36" s="707"/>
      <c r="VQE36" s="707"/>
      <c r="VQF36" s="707"/>
      <c r="VQG36" s="707"/>
      <c r="VQH36" s="707"/>
      <c r="VQI36" s="707"/>
      <c r="VQJ36" s="707"/>
      <c r="VQK36" s="707"/>
      <c r="VQL36" s="707"/>
      <c r="VQM36" s="707"/>
      <c r="VQN36" s="707"/>
      <c r="VQO36" s="707"/>
      <c r="VQP36" s="707"/>
      <c r="VQQ36" s="707"/>
      <c r="VQR36" s="707"/>
      <c r="VQS36" s="707"/>
      <c r="VQT36" s="707"/>
      <c r="VQU36" s="707"/>
      <c r="VQV36" s="707"/>
      <c r="VQW36" s="707"/>
      <c r="VQX36" s="707"/>
      <c r="VQY36" s="707"/>
      <c r="VQZ36" s="707"/>
      <c r="VRA36" s="707"/>
      <c r="VRB36" s="707"/>
      <c r="VRC36" s="707"/>
      <c r="VRD36" s="707"/>
      <c r="VRE36" s="707"/>
      <c r="VRF36" s="707"/>
      <c r="VRG36" s="707"/>
      <c r="VRH36" s="707"/>
      <c r="VRI36" s="707"/>
      <c r="VRJ36" s="707"/>
      <c r="VRK36" s="707"/>
      <c r="VRL36" s="707"/>
      <c r="VRM36" s="707"/>
      <c r="VRN36" s="707"/>
      <c r="VRO36" s="707"/>
      <c r="VRP36" s="707"/>
      <c r="VRQ36" s="707"/>
      <c r="VRR36" s="707"/>
      <c r="VRS36" s="707"/>
      <c r="VRT36" s="707"/>
      <c r="VRU36" s="707"/>
      <c r="VRV36" s="707"/>
      <c r="VRW36" s="707"/>
      <c r="VRX36" s="707"/>
      <c r="VRY36" s="707"/>
      <c r="VRZ36" s="707"/>
      <c r="VSA36" s="707"/>
      <c r="VSB36" s="707"/>
      <c r="VSC36" s="707"/>
      <c r="VSD36" s="707"/>
      <c r="VSE36" s="707"/>
      <c r="VSF36" s="707"/>
      <c r="VSG36" s="707"/>
      <c r="VSH36" s="707"/>
      <c r="VSI36" s="707"/>
      <c r="VSJ36" s="707"/>
      <c r="VSK36" s="707"/>
      <c r="VSL36" s="707"/>
      <c r="VSM36" s="707"/>
      <c r="VSN36" s="707"/>
      <c r="VSO36" s="707"/>
      <c r="VSP36" s="707"/>
      <c r="VSQ36" s="707"/>
      <c r="VSR36" s="707"/>
      <c r="VSS36" s="707"/>
      <c r="VST36" s="707"/>
      <c r="VSU36" s="707"/>
      <c r="VSV36" s="707"/>
      <c r="VSW36" s="707"/>
      <c r="VSX36" s="707"/>
      <c r="VSY36" s="707"/>
      <c r="VSZ36" s="707"/>
      <c r="VTA36" s="707"/>
      <c r="VTB36" s="707"/>
      <c r="VTC36" s="707"/>
      <c r="VTD36" s="707"/>
      <c r="VTE36" s="707"/>
      <c r="VTF36" s="707"/>
      <c r="VTG36" s="707"/>
      <c r="VTH36" s="707"/>
      <c r="VTI36" s="707"/>
      <c r="VTJ36" s="707"/>
      <c r="VTK36" s="707"/>
      <c r="VTL36" s="707"/>
      <c r="VTM36" s="707"/>
      <c r="VTN36" s="707"/>
      <c r="VTO36" s="707"/>
      <c r="VTP36" s="707"/>
      <c r="VTQ36" s="707"/>
      <c r="VTR36" s="707"/>
      <c r="VTS36" s="707"/>
      <c r="VTT36" s="707"/>
      <c r="VTU36" s="707"/>
      <c r="VTV36" s="707"/>
      <c r="VTW36" s="707"/>
      <c r="VTX36" s="707"/>
      <c r="VTY36" s="707"/>
      <c r="VTZ36" s="707"/>
      <c r="VUA36" s="707"/>
      <c r="VUB36" s="707"/>
      <c r="VUC36" s="707"/>
      <c r="VUD36" s="707"/>
      <c r="VUE36" s="707"/>
      <c r="VUF36" s="707"/>
      <c r="VUG36" s="707"/>
      <c r="VUH36" s="707"/>
      <c r="VUI36" s="707"/>
      <c r="VUJ36" s="707"/>
      <c r="VUK36" s="707"/>
      <c r="VUL36" s="707"/>
      <c r="VUM36" s="707"/>
      <c r="VUN36" s="707"/>
      <c r="VUO36" s="707"/>
      <c r="VUP36" s="707"/>
      <c r="VUQ36" s="707"/>
      <c r="VUR36" s="707"/>
      <c r="VUS36" s="707"/>
      <c r="VUT36" s="707"/>
      <c r="VUU36" s="707"/>
      <c r="VUV36" s="707"/>
      <c r="VUW36" s="707"/>
      <c r="VUX36" s="707"/>
      <c r="VUY36" s="707"/>
      <c r="VUZ36" s="707"/>
      <c r="VVA36" s="707"/>
      <c r="VVB36" s="707"/>
      <c r="VVC36" s="707"/>
      <c r="VVD36" s="707"/>
      <c r="VVE36" s="707"/>
      <c r="VVF36" s="707"/>
      <c r="VVG36" s="707"/>
      <c r="VVH36" s="707"/>
      <c r="VVI36" s="707"/>
      <c r="VVJ36" s="707"/>
      <c r="VVK36" s="707"/>
      <c r="VVL36" s="707"/>
      <c r="VVM36" s="707"/>
      <c r="VVN36" s="707"/>
      <c r="VVO36" s="707"/>
      <c r="VVP36" s="707"/>
      <c r="VVQ36" s="707"/>
      <c r="VVR36" s="707"/>
      <c r="VVS36" s="707"/>
      <c r="VVT36" s="707"/>
      <c r="VVU36" s="707"/>
      <c r="VVV36" s="707"/>
      <c r="VVW36" s="707"/>
      <c r="VVX36" s="707"/>
      <c r="VVY36" s="707"/>
      <c r="VVZ36" s="707"/>
      <c r="VWA36" s="707"/>
      <c r="VWB36" s="707"/>
      <c r="VWC36" s="707"/>
      <c r="VWD36" s="707"/>
      <c r="VWE36" s="707"/>
      <c r="VWF36" s="707"/>
      <c r="VWG36" s="707"/>
      <c r="VWH36" s="707"/>
      <c r="VWI36" s="707"/>
      <c r="VWJ36" s="707"/>
      <c r="VWK36" s="707"/>
      <c r="VWL36" s="707"/>
      <c r="VWM36" s="707"/>
      <c r="VWN36" s="707"/>
      <c r="VWO36" s="707"/>
      <c r="VWP36" s="707"/>
      <c r="VWQ36" s="707"/>
      <c r="VWR36" s="707"/>
      <c r="VWS36" s="707"/>
      <c r="VWT36" s="707"/>
      <c r="VWU36" s="707"/>
      <c r="VWV36" s="707"/>
      <c r="VWW36" s="707"/>
      <c r="VWX36" s="707"/>
      <c r="VWY36" s="707"/>
      <c r="VWZ36" s="707"/>
      <c r="VXA36" s="707"/>
      <c r="VXB36" s="707"/>
      <c r="VXC36" s="707"/>
      <c r="VXD36" s="707"/>
      <c r="VXE36" s="707"/>
      <c r="VXF36" s="707"/>
      <c r="VXG36" s="707"/>
      <c r="VXH36" s="707"/>
      <c r="VXI36" s="707"/>
      <c r="VXJ36" s="707"/>
      <c r="VXK36" s="707"/>
      <c r="VXL36" s="707"/>
      <c r="VXM36" s="707"/>
      <c r="VXN36" s="707"/>
      <c r="VXO36" s="707"/>
      <c r="VXP36" s="707"/>
      <c r="VXQ36" s="707"/>
      <c r="VXR36" s="707"/>
      <c r="VXS36" s="707"/>
      <c r="VXT36" s="707"/>
      <c r="VXU36" s="707"/>
      <c r="VXV36" s="707"/>
      <c r="VXW36" s="707"/>
      <c r="VXX36" s="707"/>
      <c r="VXY36" s="707"/>
      <c r="VXZ36" s="707"/>
      <c r="VYA36" s="707"/>
      <c r="VYB36" s="707"/>
      <c r="VYC36" s="707"/>
      <c r="VYD36" s="707"/>
      <c r="VYE36" s="707"/>
      <c r="VYF36" s="707"/>
      <c r="VYG36" s="707"/>
      <c r="VYH36" s="707"/>
      <c r="VYI36" s="707"/>
      <c r="VYJ36" s="707"/>
      <c r="VYK36" s="707"/>
      <c r="VYL36" s="707"/>
      <c r="VYM36" s="707"/>
      <c r="VYN36" s="707"/>
      <c r="VYO36" s="707"/>
      <c r="VYP36" s="707"/>
      <c r="VYQ36" s="707"/>
      <c r="VYR36" s="707"/>
      <c r="VYS36" s="707"/>
      <c r="VYT36" s="707"/>
      <c r="VYU36" s="707"/>
      <c r="VYV36" s="707"/>
      <c r="VYW36" s="707"/>
      <c r="VYX36" s="707"/>
      <c r="VYY36" s="707"/>
      <c r="VYZ36" s="707"/>
      <c r="VZA36" s="707"/>
      <c r="VZB36" s="707"/>
      <c r="VZC36" s="707"/>
      <c r="VZD36" s="707"/>
      <c r="VZE36" s="707"/>
      <c r="VZF36" s="707"/>
      <c r="VZG36" s="707"/>
      <c r="VZH36" s="707"/>
      <c r="VZI36" s="707"/>
      <c r="VZJ36" s="707"/>
      <c r="VZK36" s="707"/>
      <c r="VZL36" s="707"/>
      <c r="VZM36" s="707"/>
      <c r="VZN36" s="707"/>
      <c r="VZO36" s="707"/>
      <c r="VZP36" s="707"/>
      <c r="VZQ36" s="707"/>
      <c r="VZR36" s="707"/>
      <c r="VZS36" s="707"/>
      <c r="VZT36" s="707"/>
      <c r="VZU36" s="707"/>
      <c r="VZV36" s="707"/>
      <c r="VZW36" s="707"/>
      <c r="VZX36" s="707"/>
      <c r="VZY36" s="707"/>
      <c r="VZZ36" s="707"/>
      <c r="WAA36" s="707"/>
      <c r="WAB36" s="707"/>
      <c r="WAC36" s="707"/>
      <c r="WAD36" s="707"/>
      <c r="WAE36" s="707"/>
      <c r="WAF36" s="707"/>
      <c r="WAG36" s="707"/>
      <c r="WAH36" s="707"/>
      <c r="WAI36" s="707"/>
      <c r="WAJ36" s="707"/>
      <c r="WAK36" s="707"/>
      <c r="WAL36" s="707"/>
      <c r="WAM36" s="707"/>
      <c r="WAN36" s="707"/>
      <c r="WAO36" s="707"/>
      <c r="WAP36" s="707"/>
      <c r="WAQ36" s="707"/>
      <c r="WAR36" s="707"/>
      <c r="WAS36" s="707"/>
      <c r="WAT36" s="707"/>
      <c r="WAU36" s="707"/>
      <c r="WAV36" s="707"/>
      <c r="WAW36" s="707"/>
      <c r="WAX36" s="707"/>
      <c r="WAY36" s="707"/>
      <c r="WAZ36" s="707"/>
      <c r="WBA36" s="707"/>
      <c r="WBB36" s="707"/>
      <c r="WBC36" s="707"/>
      <c r="WBD36" s="707"/>
      <c r="WBE36" s="707"/>
      <c r="WBF36" s="707"/>
      <c r="WBG36" s="707"/>
      <c r="WBH36" s="707"/>
      <c r="WBI36" s="707"/>
      <c r="WBJ36" s="707"/>
      <c r="WBK36" s="707"/>
      <c r="WBL36" s="707"/>
      <c r="WBM36" s="707"/>
      <c r="WBN36" s="707"/>
      <c r="WBO36" s="707"/>
      <c r="WBP36" s="707"/>
      <c r="WBQ36" s="707"/>
      <c r="WBR36" s="707"/>
      <c r="WBS36" s="707"/>
      <c r="WBT36" s="707"/>
      <c r="WBU36" s="707"/>
      <c r="WBV36" s="707"/>
      <c r="WBW36" s="707"/>
      <c r="WBX36" s="707"/>
      <c r="WBY36" s="707"/>
      <c r="WBZ36" s="707"/>
      <c r="WCA36" s="707"/>
      <c r="WCB36" s="707"/>
      <c r="WCC36" s="707"/>
      <c r="WCD36" s="707"/>
      <c r="WCE36" s="707"/>
      <c r="WCF36" s="707"/>
      <c r="WCG36" s="707"/>
      <c r="WCH36" s="707"/>
      <c r="WCI36" s="707"/>
      <c r="WCJ36" s="707"/>
      <c r="WCK36" s="707"/>
      <c r="WCL36" s="707"/>
      <c r="WCM36" s="707"/>
      <c r="WCN36" s="707"/>
      <c r="WCO36" s="707"/>
      <c r="WCP36" s="707"/>
      <c r="WCQ36" s="707"/>
      <c r="WCR36" s="707"/>
      <c r="WCS36" s="707"/>
      <c r="WCT36" s="707"/>
      <c r="WCU36" s="707"/>
      <c r="WCV36" s="707"/>
      <c r="WCW36" s="707"/>
      <c r="WCX36" s="707"/>
      <c r="WCY36" s="707"/>
      <c r="WCZ36" s="707"/>
      <c r="WDA36" s="707"/>
      <c r="WDB36" s="707"/>
      <c r="WDC36" s="707"/>
      <c r="WDD36" s="707"/>
      <c r="WDE36" s="707"/>
      <c r="WDF36" s="707"/>
      <c r="WDG36" s="707"/>
      <c r="WDH36" s="707"/>
      <c r="WDI36" s="707"/>
      <c r="WDJ36" s="707"/>
      <c r="WDK36" s="707"/>
      <c r="WDL36" s="707"/>
      <c r="WDM36" s="707"/>
      <c r="WDN36" s="707"/>
      <c r="WDO36" s="707"/>
      <c r="WDP36" s="707"/>
      <c r="WDQ36" s="707"/>
      <c r="WDR36" s="707"/>
      <c r="WDS36" s="707"/>
      <c r="WDT36" s="707"/>
      <c r="WDU36" s="707"/>
      <c r="WDV36" s="707"/>
      <c r="WDW36" s="707"/>
      <c r="WDX36" s="707"/>
      <c r="WDY36" s="707"/>
      <c r="WDZ36" s="707"/>
      <c r="WEA36" s="707"/>
      <c r="WEB36" s="707"/>
      <c r="WEC36" s="707"/>
      <c r="WED36" s="707"/>
      <c r="WEE36" s="707"/>
      <c r="WEF36" s="707"/>
      <c r="WEG36" s="707"/>
      <c r="WEH36" s="707"/>
      <c r="WEI36" s="707"/>
      <c r="WEJ36" s="707"/>
      <c r="WEK36" s="707"/>
      <c r="WEL36" s="707"/>
      <c r="WEM36" s="707"/>
      <c r="WEN36" s="707"/>
      <c r="WEO36" s="707"/>
      <c r="WEP36" s="707"/>
      <c r="WEQ36" s="707"/>
      <c r="WER36" s="707"/>
      <c r="WES36" s="707"/>
      <c r="WET36" s="707"/>
      <c r="WEU36" s="707"/>
      <c r="WEV36" s="707"/>
      <c r="WEW36" s="707"/>
      <c r="WEX36" s="707"/>
      <c r="WEY36" s="707"/>
      <c r="WEZ36" s="707"/>
      <c r="WFA36" s="707"/>
      <c r="WFB36" s="707"/>
      <c r="WFC36" s="707"/>
      <c r="WFD36" s="707"/>
      <c r="WFE36" s="707"/>
      <c r="WFF36" s="707"/>
      <c r="WFG36" s="707"/>
      <c r="WFH36" s="707"/>
      <c r="WFI36" s="707"/>
      <c r="WFJ36" s="707"/>
      <c r="WFK36" s="707"/>
      <c r="WFL36" s="707"/>
      <c r="WFM36" s="707"/>
      <c r="WFN36" s="707"/>
      <c r="WFO36" s="707"/>
      <c r="WFP36" s="707"/>
      <c r="WFQ36" s="707"/>
      <c r="WFR36" s="707"/>
      <c r="WFS36" s="707"/>
      <c r="WFT36" s="707"/>
      <c r="WFU36" s="707"/>
      <c r="WFV36" s="707"/>
      <c r="WFW36" s="707"/>
      <c r="WFX36" s="707"/>
      <c r="WFY36" s="707"/>
      <c r="WFZ36" s="707"/>
      <c r="WGA36" s="707"/>
      <c r="WGB36" s="707"/>
      <c r="WGC36" s="707"/>
      <c r="WGD36" s="707"/>
      <c r="WGE36" s="707"/>
      <c r="WGF36" s="707"/>
      <c r="WGG36" s="707"/>
      <c r="WGH36" s="707"/>
      <c r="WGI36" s="707"/>
      <c r="WGJ36" s="707"/>
      <c r="WGK36" s="707"/>
      <c r="WGL36" s="707"/>
      <c r="WGM36" s="707"/>
      <c r="WGN36" s="707"/>
      <c r="WGO36" s="707"/>
      <c r="WGP36" s="707"/>
      <c r="WGQ36" s="707"/>
      <c r="WGR36" s="707"/>
      <c r="WGS36" s="707"/>
      <c r="WGT36" s="707"/>
      <c r="WGU36" s="707"/>
      <c r="WGV36" s="707"/>
      <c r="WGW36" s="707"/>
      <c r="WGX36" s="707"/>
      <c r="WGY36" s="707"/>
      <c r="WGZ36" s="707"/>
      <c r="WHA36" s="707"/>
      <c r="WHB36" s="707"/>
      <c r="WHC36" s="707"/>
      <c r="WHD36" s="707"/>
      <c r="WHE36" s="707"/>
      <c r="WHF36" s="707"/>
      <c r="WHG36" s="707"/>
      <c r="WHH36" s="707"/>
      <c r="WHI36" s="707"/>
      <c r="WHJ36" s="707"/>
      <c r="WHK36" s="707"/>
      <c r="WHL36" s="707"/>
      <c r="WHM36" s="707"/>
      <c r="WHN36" s="707"/>
      <c r="WHO36" s="707"/>
      <c r="WHP36" s="707"/>
      <c r="WHQ36" s="707"/>
      <c r="WHR36" s="707"/>
      <c r="WHS36" s="707"/>
      <c r="WHT36" s="707"/>
      <c r="WHU36" s="707"/>
      <c r="WHV36" s="707"/>
      <c r="WHW36" s="707"/>
      <c r="WHX36" s="707"/>
      <c r="WHY36" s="707"/>
      <c r="WHZ36" s="707"/>
      <c r="WIA36" s="707"/>
      <c r="WIB36" s="707"/>
      <c r="WIC36" s="707"/>
      <c r="WID36" s="707"/>
      <c r="WIE36" s="707"/>
      <c r="WIF36" s="707"/>
      <c r="WIG36" s="707"/>
      <c r="WIH36" s="707"/>
      <c r="WII36" s="707"/>
      <c r="WIJ36" s="707"/>
      <c r="WIK36" s="707"/>
      <c r="WIL36" s="707"/>
      <c r="WIM36" s="707"/>
      <c r="WIN36" s="707"/>
      <c r="WIO36" s="707"/>
      <c r="WIP36" s="707"/>
      <c r="WIQ36" s="707"/>
      <c r="WIR36" s="707"/>
      <c r="WIS36" s="707"/>
      <c r="WIT36" s="707"/>
      <c r="WIU36" s="707"/>
      <c r="WIV36" s="707"/>
      <c r="WIW36" s="707"/>
      <c r="WIX36" s="707"/>
      <c r="WIY36" s="707"/>
      <c r="WIZ36" s="707"/>
      <c r="WJA36" s="707"/>
      <c r="WJB36" s="707"/>
      <c r="WJC36" s="707"/>
      <c r="WJD36" s="707"/>
      <c r="WJE36" s="707"/>
      <c r="WJF36" s="707"/>
      <c r="WJG36" s="707"/>
      <c r="WJH36" s="707"/>
      <c r="WJI36" s="707"/>
      <c r="WJJ36" s="707"/>
      <c r="WJK36" s="707"/>
      <c r="WJL36" s="707"/>
      <c r="WJM36" s="707"/>
      <c r="WJN36" s="707"/>
      <c r="WJO36" s="707"/>
      <c r="WJP36" s="707"/>
      <c r="WJQ36" s="707"/>
      <c r="WJR36" s="707"/>
      <c r="WJS36" s="707"/>
      <c r="WJT36" s="707"/>
      <c r="WJU36" s="707"/>
      <c r="WJV36" s="707"/>
      <c r="WJW36" s="707"/>
      <c r="WJX36" s="707"/>
      <c r="WJY36" s="707"/>
      <c r="WJZ36" s="707"/>
      <c r="WKA36" s="707"/>
      <c r="WKB36" s="707"/>
      <c r="WKC36" s="707"/>
      <c r="WKD36" s="707"/>
      <c r="WKE36" s="707"/>
      <c r="WKF36" s="707"/>
      <c r="WKG36" s="707"/>
      <c r="WKH36" s="707"/>
      <c r="WKI36" s="707"/>
      <c r="WKJ36" s="707"/>
      <c r="WKK36" s="707"/>
      <c r="WKL36" s="707"/>
      <c r="WKM36" s="707"/>
      <c r="WKN36" s="707"/>
      <c r="WKO36" s="707"/>
      <c r="WKP36" s="707"/>
      <c r="WKQ36" s="707"/>
      <c r="WKR36" s="707"/>
      <c r="WKS36" s="707"/>
      <c r="WKT36" s="707"/>
      <c r="WKU36" s="707"/>
      <c r="WKV36" s="707"/>
      <c r="WKW36" s="707"/>
      <c r="WKX36" s="707"/>
      <c r="WKY36" s="707"/>
      <c r="WKZ36" s="707"/>
      <c r="WLA36" s="707"/>
      <c r="WLB36" s="707"/>
      <c r="WLC36" s="707"/>
      <c r="WLD36" s="707"/>
      <c r="WLE36" s="707"/>
      <c r="WLF36" s="707"/>
      <c r="WLG36" s="707"/>
      <c r="WLH36" s="707"/>
      <c r="WLI36" s="707"/>
      <c r="WLJ36" s="707"/>
      <c r="WLK36" s="707"/>
      <c r="WLL36" s="707"/>
      <c r="WLM36" s="707"/>
      <c r="WLN36" s="707"/>
      <c r="WLO36" s="707"/>
      <c r="WLP36" s="707"/>
      <c r="WLQ36" s="707"/>
      <c r="WLR36" s="707"/>
      <c r="WLS36" s="707"/>
      <c r="WLT36" s="707"/>
      <c r="WLU36" s="707"/>
      <c r="WLV36" s="707"/>
      <c r="WLW36" s="707"/>
      <c r="WLX36" s="707"/>
      <c r="WLY36" s="707"/>
      <c r="WLZ36" s="707"/>
      <c r="WMA36" s="707"/>
      <c r="WMB36" s="707"/>
      <c r="WMC36" s="707"/>
      <c r="WMD36" s="707"/>
      <c r="WME36" s="707"/>
      <c r="WMF36" s="707"/>
      <c r="WMG36" s="707"/>
      <c r="WMH36" s="707"/>
      <c r="WMI36" s="707"/>
      <c r="WMJ36" s="707"/>
      <c r="WMK36" s="707"/>
      <c r="WML36" s="707"/>
      <c r="WMM36" s="707"/>
      <c r="WMN36" s="707"/>
      <c r="WMO36" s="707"/>
      <c r="WMP36" s="707"/>
      <c r="WMQ36" s="707"/>
      <c r="WMR36" s="707"/>
      <c r="WMS36" s="707"/>
      <c r="WMT36" s="707"/>
      <c r="WMU36" s="707"/>
      <c r="WMV36" s="707"/>
      <c r="WMW36" s="707"/>
      <c r="WMX36" s="707"/>
      <c r="WMY36" s="707"/>
      <c r="WMZ36" s="707"/>
      <c r="WNA36" s="707"/>
      <c r="WNB36" s="707"/>
      <c r="WNC36" s="707"/>
      <c r="WND36" s="707"/>
      <c r="WNE36" s="707"/>
      <c r="WNF36" s="707"/>
      <c r="WNG36" s="707"/>
      <c r="WNH36" s="707"/>
      <c r="WNI36" s="707"/>
      <c r="WNJ36" s="707"/>
      <c r="WNK36" s="707"/>
      <c r="WNL36" s="707"/>
      <c r="WNM36" s="707"/>
      <c r="WNN36" s="707"/>
      <c r="WNO36" s="707"/>
      <c r="WNP36" s="707"/>
      <c r="WNQ36" s="707"/>
      <c r="WNR36" s="707"/>
      <c r="WNS36" s="707"/>
      <c r="WNT36" s="707"/>
      <c r="WNU36" s="707"/>
      <c r="WNV36" s="707"/>
      <c r="WNW36" s="707"/>
      <c r="WNX36" s="707"/>
      <c r="WNY36" s="707"/>
      <c r="WNZ36" s="707"/>
      <c r="WOA36" s="707"/>
      <c r="WOB36" s="707"/>
      <c r="WOC36" s="707"/>
      <c r="WOD36" s="707"/>
      <c r="WOE36" s="707"/>
      <c r="WOF36" s="707"/>
      <c r="WOG36" s="707"/>
      <c r="WOH36" s="707"/>
      <c r="WOI36" s="707"/>
      <c r="WOJ36" s="707"/>
      <c r="WOK36" s="707"/>
      <c r="WOL36" s="707"/>
      <c r="WOM36" s="707"/>
      <c r="WON36" s="707"/>
      <c r="WOO36" s="707"/>
      <c r="WOP36" s="707"/>
      <c r="WOQ36" s="707"/>
      <c r="WOR36" s="707"/>
      <c r="WOS36" s="707"/>
      <c r="WOT36" s="707"/>
      <c r="WOU36" s="707"/>
      <c r="WOV36" s="707"/>
      <c r="WOW36" s="707"/>
      <c r="WOX36" s="707"/>
      <c r="WOY36" s="707"/>
      <c r="WOZ36" s="707"/>
      <c r="WPA36" s="707"/>
      <c r="WPB36" s="707"/>
      <c r="WPC36" s="707"/>
      <c r="WPD36" s="707"/>
      <c r="WPE36" s="707"/>
      <c r="WPF36" s="707"/>
      <c r="WPG36" s="707"/>
      <c r="WPH36" s="707"/>
      <c r="WPI36" s="707"/>
      <c r="WPJ36" s="707"/>
      <c r="WPK36" s="707"/>
      <c r="WPL36" s="707"/>
      <c r="WPM36" s="707"/>
      <c r="WPN36" s="707"/>
      <c r="WPO36" s="707"/>
      <c r="WPP36" s="707"/>
      <c r="WPQ36" s="707"/>
      <c r="WPR36" s="707"/>
      <c r="WPS36" s="707"/>
      <c r="WPT36" s="707"/>
      <c r="WPU36" s="707"/>
      <c r="WPV36" s="707"/>
      <c r="WPW36" s="707"/>
      <c r="WPX36" s="707"/>
      <c r="WPY36" s="707"/>
      <c r="WPZ36" s="707"/>
      <c r="WQA36" s="707"/>
      <c r="WQB36" s="707"/>
      <c r="WQC36" s="707"/>
      <c r="WQD36" s="707"/>
      <c r="WQE36" s="707"/>
      <c r="WQF36" s="707"/>
      <c r="WQG36" s="707"/>
      <c r="WQH36" s="707"/>
      <c r="WQI36" s="707"/>
      <c r="WQJ36" s="707"/>
      <c r="WQK36" s="707"/>
      <c r="WQL36" s="707"/>
      <c r="WQM36" s="707"/>
      <c r="WQN36" s="707"/>
      <c r="WQO36" s="707"/>
      <c r="WQP36" s="707"/>
      <c r="WQQ36" s="707"/>
      <c r="WQR36" s="707"/>
      <c r="WQS36" s="707"/>
      <c r="WQT36" s="707"/>
      <c r="WQU36" s="707"/>
      <c r="WQV36" s="707"/>
      <c r="WQW36" s="707"/>
      <c r="WQX36" s="707"/>
      <c r="WQY36" s="707"/>
      <c r="WQZ36" s="707"/>
      <c r="WRA36" s="707"/>
      <c r="WRB36" s="707"/>
      <c r="WRC36" s="707"/>
      <c r="WRD36" s="707"/>
      <c r="WRE36" s="707"/>
      <c r="WRF36" s="707"/>
      <c r="WRG36" s="707"/>
      <c r="WRH36" s="707"/>
      <c r="WRI36" s="707"/>
      <c r="WRJ36" s="707"/>
      <c r="WRK36" s="707"/>
      <c r="WRL36" s="707"/>
      <c r="WRM36" s="707"/>
      <c r="WRN36" s="707"/>
      <c r="WRO36" s="707"/>
      <c r="WRP36" s="707"/>
      <c r="WRQ36" s="707"/>
      <c r="WRR36" s="707"/>
      <c r="WRS36" s="707"/>
      <c r="WRT36" s="707"/>
      <c r="WRU36" s="707"/>
      <c r="WRV36" s="707"/>
      <c r="WRW36" s="707"/>
      <c r="WRX36" s="707"/>
      <c r="WRY36" s="707"/>
      <c r="WRZ36" s="707"/>
      <c r="WSA36" s="707"/>
      <c r="WSB36" s="707"/>
      <c r="WSC36" s="707"/>
      <c r="WSD36" s="707"/>
      <c r="WSE36" s="707"/>
      <c r="WSF36" s="707"/>
      <c r="WSG36" s="707"/>
      <c r="WSH36" s="707"/>
      <c r="WSI36" s="707"/>
      <c r="WSJ36" s="707"/>
      <c r="WSK36" s="707"/>
      <c r="WSL36" s="707"/>
      <c r="WSM36" s="707"/>
      <c r="WSN36" s="707"/>
      <c r="WSO36" s="707"/>
      <c r="WSP36" s="707"/>
      <c r="WSQ36" s="707"/>
      <c r="WSR36" s="707"/>
      <c r="WSS36" s="707"/>
      <c r="WST36" s="707"/>
      <c r="WSU36" s="707"/>
      <c r="WSV36" s="707"/>
      <c r="WSW36" s="707"/>
      <c r="WSX36" s="707"/>
      <c r="WSY36" s="707"/>
      <c r="WSZ36" s="707"/>
      <c r="WTA36" s="707"/>
      <c r="WTB36" s="707"/>
      <c r="WTC36" s="707"/>
      <c r="WTD36" s="707"/>
      <c r="WTE36" s="707"/>
      <c r="WTF36" s="707"/>
      <c r="WTG36" s="707"/>
      <c r="WTH36" s="707"/>
      <c r="WTI36" s="707"/>
      <c r="WTJ36" s="707"/>
      <c r="WTK36" s="707"/>
      <c r="WTL36" s="707"/>
      <c r="WTM36" s="707"/>
      <c r="WTN36" s="707"/>
      <c r="WTO36" s="707"/>
      <c r="WTP36" s="707"/>
      <c r="WTQ36" s="707"/>
      <c r="WTR36" s="707"/>
      <c r="WTS36" s="707"/>
      <c r="WTT36" s="707"/>
      <c r="WTU36" s="707"/>
      <c r="WTV36" s="707"/>
      <c r="WTW36" s="707"/>
      <c r="WTX36" s="707"/>
      <c r="WTY36" s="707"/>
      <c r="WTZ36" s="707"/>
      <c r="WUA36" s="707"/>
      <c r="WUB36" s="707"/>
      <c r="WUC36" s="707"/>
      <c r="WUD36" s="707"/>
      <c r="WUE36" s="707"/>
      <c r="WUF36" s="707"/>
      <c r="WUG36" s="707"/>
      <c r="WUH36" s="707"/>
      <c r="WUI36" s="707"/>
      <c r="WUJ36" s="707"/>
      <c r="WUK36" s="707"/>
      <c r="WUL36" s="707"/>
      <c r="WUM36" s="707"/>
      <c r="WUN36" s="707"/>
      <c r="WUO36" s="707"/>
      <c r="WUP36" s="707"/>
      <c r="WUQ36" s="707"/>
      <c r="WUR36" s="707"/>
      <c r="WUS36" s="707"/>
      <c r="WUT36" s="707"/>
      <c r="WUU36" s="707"/>
      <c r="WUV36" s="707"/>
      <c r="WUW36" s="707"/>
      <c r="WUX36" s="707"/>
      <c r="WUY36" s="707"/>
      <c r="WUZ36" s="707"/>
      <c r="WVA36" s="707"/>
      <c r="WVB36" s="707"/>
      <c r="WVC36" s="707"/>
      <c r="WVD36" s="707"/>
      <c r="WVE36" s="707"/>
      <c r="WVF36" s="707"/>
      <c r="WVG36" s="707"/>
      <c r="WVH36" s="707"/>
      <c r="WVI36" s="707"/>
      <c r="WVJ36" s="707"/>
      <c r="WVK36" s="707"/>
      <c r="WVL36" s="707"/>
      <c r="WVM36" s="707"/>
      <c r="WVN36" s="707"/>
      <c r="WVO36" s="707"/>
      <c r="WVP36" s="707"/>
      <c r="WVQ36" s="707"/>
      <c r="WVR36" s="707"/>
      <c r="WVS36" s="707"/>
      <c r="WVT36" s="707"/>
      <c r="WVU36" s="707"/>
      <c r="WVV36" s="707"/>
      <c r="WVW36" s="707"/>
      <c r="WVX36" s="707"/>
      <c r="WVY36" s="707"/>
      <c r="WVZ36" s="707"/>
      <c r="WWA36" s="707"/>
      <c r="WWB36" s="707"/>
      <c r="WWC36" s="707"/>
      <c r="WWD36" s="707"/>
      <c r="WWE36" s="707"/>
      <c r="WWF36" s="707"/>
      <c r="WWG36" s="707"/>
      <c r="WWH36" s="707"/>
      <c r="WWI36" s="707"/>
      <c r="WWJ36" s="707"/>
      <c r="WWK36" s="707"/>
      <c r="WWL36" s="707"/>
      <c r="WWM36" s="707"/>
      <c r="WWN36" s="707"/>
      <c r="WWO36" s="707"/>
      <c r="WWP36" s="707"/>
      <c r="WWQ36" s="707"/>
      <c r="WWR36" s="707"/>
      <c r="WWS36" s="707"/>
      <c r="WWT36" s="707"/>
      <c r="WWU36" s="707"/>
      <c r="WWV36" s="707"/>
      <c r="WWW36" s="707"/>
      <c r="WWX36" s="707"/>
      <c r="WWY36" s="707"/>
      <c r="WWZ36" s="707"/>
      <c r="WXA36" s="707"/>
      <c r="WXB36" s="707"/>
      <c r="WXC36" s="707"/>
      <c r="WXD36" s="707"/>
      <c r="WXE36" s="707"/>
      <c r="WXF36" s="707"/>
      <c r="WXG36" s="707"/>
      <c r="WXH36" s="707"/>
      <c r="WXI36" s="707"/>
      <c r="WXJ36" s="707"/>
      <c r="WXK36" s="707"/>
      <c r="WXL36" s="707"/>
      <c r="WXM36" s="707"/>
      <c r="WXN36" s="707"/>
      <c r="WXO36" s="707"/>
      <c r="WXP36" s="707"/>
      <c r="WXQ36" s="707"/>
      <c r="WXR36" s="707"/>
      <c r="WXS36" s="707"/>
      <c r="WXT36" s="707"/>
      <c r="WXU36" s="707"/>
      <c r="WXV36" s="707"/>
      <c r="WXW36" s="707"/>
      <c r="WXX36" s="707"/>
      <c r="WXY36" s="707"/>
      <c r="WXZ36" s="707"/>
      <c r="WYA36" s="707"/>
      <c r="WYB36" s="707"/>
      <c r="WYC36" s="707"/>
      <c r="WYD36" s="707"/>
      <c r="WYE36" s="707"/>
      <c r="WYF36" s="707"/>
      <c r="WYG36" s="707"/>
      <c r="WYH36" s="707"/>
      <c r="WYI36" s="707"/>
      <c r="WYJ36" s="707"/>
      <c r="WYK36" s="707"/>
      <c r="WYL36" s="707"/>
      <c r="WYM36" s="707"/>
      <c r="WYN36" s="707"/>
      <c r="WYO36" s="707"/>
      <c r="WYP36" s="707"/>
      <c r="WYQ36" s="707"/>
      <c r="WYR36" s="707"/>
      <c r="WYS36" s="707"/>
      <c r="WYT36" s="707"/>
      <c r="WYU36" s="707"/>
      <c r="WYV36" s="707"/>
      <c r="WYW36" s="707"/>
      <c r="WYX36" s="707"/>
      <c r="WYY36" s="707"/>
      <c r="WYZ36" s="707"/>
      <c r="WZA36" s="707"/>
      <c r="WZB36" s="707"/>
      <c r="WZC36" s="707"/>
      <c r="WZD36" s="707"/>
      <c r="WZE36" s="707"/>
      <c r="WZF36" s="707"/>
      <c r="WZG36" s="707"/>
      <c r="WZH36" s="707"/>
      <c r="WZI36" s="707"/>
      <c r="WZJ36" s="707"/>
      <c r="WZK36" s="707"/>
      <c r="WZL36" s="707"/>
      <c r="WZM36" s="707"/>
      <c r="WZN36" s="707"/>
      <c r="WZO36" s="707"/>
      <c r="WZP36" s="707"/>
      <c r="WZQ36" s="707"/>
      <c r="WZR36" s="707"/>
      <c r="WZS36" s="707"/>
      <c r="WZT36" s="707"/>
      <c r="WZU36" s="707"/>
      <c r="WZV36" s="707"/>
      <c r="WZW36" s="707"/>
      <c r="WZX36" s="707"/>
      <c r="WZY36" s="707"/>
      <c r="WZZ36" s="707"/>
      <c r="XAA36" s="707"/>
      <c r="XAB36" s="707"/>
      <c r="XAC36" s="707"/>
      <c r="XAD36" s="707"/>
      <c r="XAE36" s="707"/>
      <c r="XAF36" s="707"/>
      <c r="XAG36" s="707"/>
      <c r="XAH36" s="707"/>
      <c r="XAI36" s="707"/>
      <c r="XAJ36" s="707"/>
      <c r="XAK36" s="707"/>
      <c r="XAL36" s="707"/>
      <c r="XAM36" s="707"/>
      <c r="XAN36" s="707"/>
      <c r="XAO36" s="707"/>
      <c r="XAP36" s="707"/>
      <c r="XAQ36" s="707"/>
      <c r="XAR36" s="707"/>
      <c r="XAS36" s="707"/>
      <c r="XAT36" s="707"/>
      <c r="XAU36" s="707"/>
      <c r="XAV36" s="707"/>
      <c r="XAW36" s="707"/>
      <c r="XAX36" s="707"/>
      <c r="XAY36" s="707"/>
      <c r="XAZ36" s="707"/>
      <c r="XBA36" s="707"/>
      <c r="XBB36" s="707"/>
      <c r="XBC36" s="707"/>
      <c r="XBD36" s="707"/>
      <c r="XBE36" s="707"/>
      <c r="XBF36" s="707"/>
      <c r="XBG36" s="707"/>
      <c r="XBH36" s="707"/>
      <c r="XBI36" s="707"/>
      <c r="XBJ36" s="707"/>
      <c r="XBK36" s="707"/>
      <c r="XBL36" s="707"/>
      <c r="XBM36" s="707"/>
      <c r="XBN36" s="707"/>
      <c r="XBO36" s="707"/>
      <c r="XBP36" s="707"/>
      <c r="XBQ36" s="707"/>
      <c r="XBR36" s="707"/>
      <c r="XBS36" s="707"/>
      <c r="XBT36" s="707"/>
      <c r="XBU36" s="707"/>
      <c r="XBV36" s="707"/>
      <c r="XBW36" s="707"/>
      <c r="XBX36" s="707"/>
      <c r="XBY36" s="707"/>
      <c r="XBZ36" s="707"/>
      <c r="XCA36" s="707"/>
      <c r="XCB36" s="707"/>
      <c r="XCC36" s="707"/>
      <c r="XCD36" s="707"/>
      <c r="XCE36" s="707"/>
      <c r="XCF36" s="707"/>
      <c r="XCG36" s="707"/>
      <c r="XCH36" s="707"/>
      <c r="XCI36" s="707"/>
      <c r="XCJ36" s="707"/>
      <c r="XCK36" s="707"/>
      <c r="XCL36" s="707"/>
      <c r="XCM36" s="707"/>
      <c r="XCN36" s="707"/>
      <c r="XCO36" s="707"/>
      <c r="XCP36" s="707"/>
      <c r="XCQ36" s="707"/>
      <c r="XCR36" s="707"/>
      <c r="XCS36" s="707"/>
      <c r="XCT36" s="707"/>
      <c r="XCU36" s="707"/>
      <c r="XCV36" s="707"/>
      <c r="XCW36" s="707"/>
      <c r="XCX36" s="707"/>
      <c r="XCY36" s="707"/>
      <c r="XCZ36" s="707"/>
      <c r="XDA36" s="707"/>
      <c r="XDB36" s="707"/>
      <c r="XDC36" s="707"/>
      <c r="XDD36" s="707"/>
      <c r="XDE36" s="707"/>
      <c r="XDF36" s="707"/>
      <c r="XDG36" s="707"/>
      <c r="XDH36" s="707"/>
      <c r="XDI36" s="707"/>
      <c r="XDJ36" s="707"/>
      <c r="XDK36" s="707"/>
      <c r="XDL36" s="707"/>
      <c r="XDM36" s="707"/>
      <c r="XDN36" s="707"/>
      <c r="XDO36" s="707"/>
      <c r="XDP36" s="707"/>
      <c r="XDQ36" s="707"/>
      <c r="XDR36" s="707"/>
      <c r="XDS36" s="707"/>
      <c r="XDT36" s="707"/>
      <c r="XDU36" s="707"/>
      <c r="XDV36" s="707"/>
      <c r="XDW36" s="707"/>
      <c r="XDX36" s="707"/>
      <c r="XDY36" s="707"/>
      <c r="XDZ36" s="707"/>
      <c r="XEA36" s="707"/>
      <c r="XEB36" s="707"/>
      <c r="XEC36" s="707"/>
      <c r="XED36" s="707"/>
      <c r="XEE36" s="707"/>
      <c r="XEF36" s="707"/>
      <c r="XEG36" s="707"/>
      <c r="XEH36" s="707"/>
      <c r="XEI36" s="707"/>
      <c r="XEJ36" s="707"/>
      <c r="XEK36" s="707"/>
      <c r="XEL36" s="707"/>
      <c r="XEM36" s="707"/>
      <c r="XEN36" s="707"/>
      <c r="XEO36" s="707"/>
      <c r="XEP36" s="707"/>
      <c r="XEQ36" s="707"/>
      <c r="XER36" s="707"/>
      <c r="XES36" s="707"/>
      <c r="XET36" s="707"/>
      <c r="XEU36" s="707"/>
      <c r="XEV36" s="707"/>
      <c r="XEW36" s="707"/>
      <c r="XEX36" s="707"/>
      <c r="XEY36" s="707"/>
      <c r="XEZ36" s="707"/>
      <c r="XFA36" s="707"/>
    </row>
    <row r="37" spans="1:16381" ht="12.75">
      <c r="A37" s="646" t="s">
        <v>209</v>
      </c>
      <c r="B37" s="652" t="s">
        <v>272</v>
      </c>
      <c r="C37" s="651"/>
      <c r="D37" s="651"/>
      <c r="E37" s="651"/>
      <c r="F37" s="651"/>
      <c r="G37" s="651"/>
      <c r="H37" s="651"/>
      <c r="I37" s="651"/>
      <c r="J37" s="651"/>
      <c r="K37" s="651"/>
      <c r="L37" s="651"/>
      <c r="M37" s="651"/>
      <c r="N37" s="651"/>
      <c r="O37" s="7"/>
      <c r="P37" s="7"/>
      <c r="Q37" s="7"/>
      <c r="R37" s="7"/>
      <c r="S37" s="7"/>
      <c r="T37" s="7"/>
      <c r="U37" s="12"/>
      <c r="V37" s="12"/>
      <c r="W37" s="12"/>
      <c r="X37" s="12"/>
      <c r="Y37" s="263"/>
      <c r="Z37" s="12"/>
      <c r="AA37" s="12"/>
      <c r="AB37" s="12"/>
      <c r="AC37" s="12"/>
      <c r="AD37" s="263"/>
      <c r="AE37" s="12"/>
      <c r="AF37" s="12"/>
      <c r="AG37" s="12"/>
      <c r="AH37" s="12"/>
      <c r="AI37" s="263"/>
      <c r="AJ37" s="12"/>
      <c r="AK37" s="563"/>
      <c r="AL37" s="7"/>
      <c r="AM37" s="404"/>
      <c r="AN37" s="404"/>
      <c r="AO37" s="404"/>
      <c r="AP37" s="404"/>
      <c r="AQ37" s="404"/>
      <c r="AR37" s="565"/>
      <c r="AS37" s="565"/>
      <c r="AT37" s="565"/>
      <c r="AU37" s="565"/>
      <c r="AV37" s="565"/>
      <c r="AW37" s="565"/>
      <c r="AX37" s="565"/>
      <c r="AY37" s="565"/>
      <c r="AZ37" s="565"/>
      <c r="BA37" s="565"/>
      <c r="BB37" s="620"/>
      <c r="BC37" s="620"/>
      <c r="BD37" s="620"/>
      <c r="BE37" s="620"/>
      <c r="BF37" s="620"/>
    </row>
    <row r="38" spans="1:16381" ht="12.75">
      <c r="A38" s="362"/>
      <c r="B38" s="362"/>
      <c r="C38" s="362"/>
      <c r="D38" s="362"/>
      <c r="E38" s="362"/>
      <c r="F38" s="362"/>
      <c r="G38" s="362"/>
      <c r="H38" s="362"/>
      <c r="I38" s="363"/>
      <c r="J38" s="364"/>
      <c r="U38" s="10"/>
      <c r="V38" s="10"/>
      <c r="W38" s="10"/>
      <c r="X38" s="10"/>
      <c r="Y38" s="270"/>
      <c r="Z38" s="10"/>
      <c r="AA38" s="10"/>
      <c r="AB38" s="10"/>
      <c r="AC38" s="10"/>
      <c r="AD38" s="270"/>
      <c r="AE38" s="10"/>
      <c r="AF38" s="10"/>
      <c r="AG38" s="10"/>
      <c r="AH38" s="10"/>
      <c r="AI38" s="270"/>
      <c r="AJ38" s="10"/>
      <c r="AK38" s="562"/>
      <c r="AL38" s="7"/>
      <c r="AM38" s="10"/>
      <c r="AN38" s="10"/>
      <c r="AO38" s="270"/>
      <c r="AP38" s="10"/>
      <c r="AQ38" s="10"/>
      <c r="AR38" s="10"/>
      <c r="AS38" s="10"/>
      <c r="AT38" s="270"/>
      <c r="AU38" s="10"/>
      <c r="AV38" s="10"/>
      <c r="AW38" s="10"/>
      <c r="AX38" s="10"/>
      <c r="AY38" s="270"/>
      <c r="AZ38" s="10"/>
      <c r="BA38" s="10"/>
      <c r="BB38" s="10"/>
      <c r="BC38" s="10"/>
      <c r="BD38" s="270"/>
      <c r="BE38" s="10"/>
      <c r="BF38" s="10"/>
    </row>
    <row r="39" spans="1:16381" ht="12.75">
      <c r="A39" s="714"/>
      <c r="B39" s="714"/>
      <c r="C39" s="714"/>
      <c r="D39" s="714"/>
      <c r="E39" s="714"/>
      <c r="F39" s="714"/>
      <c r="G39" s="714"/>
      <c r="H39" s="714"/>
      <c r="I39" s="714"/>
      <c r="J39" s="714"/>
      <c r="K39" s="714"/>
      <c r="L39" s="714"/>
      <c r="M39" s="714"/>
      <c r="N39" s="714"/>
      <c r="O39" s="7"/>
      <c r="P39" s="7"/>
      <c r="Q39" s="7"/>
      <c r="R39" s="7"/>
      <c r="S39" s="7"/>
      <c r="T39" s="7"/>
      <c r="U39" s="12"/>
      <c r="V39" s="12"/>
      <c r="W39" s="12"/>
      <c r="X39" s="12"/>
      <c r="Y39" s="263"/>
      <c r="Z39" s="12"/>
      <c r="AA39" s="12"/>
      <c r="AB39" s="12"/>
      <c r="AC39" s="12"/>
      <c r="AD39" s="263"/>
      <c r="AE39" s="12"/>
      <c r="AF39" s="12"/>
      <c r="AG39" s="12"/>
      <c r="AH39" s="12"/>
      <c r="AI39" s="263"/>
      <c r="AJ39" s="12"/>
      <c r="AK39" s="563"/>
      <c r="AL39" s="7"/>
      <c r="AM39" s="12"/>
      <c r="AN39" s="12"/>
      <c r="AO39" s="263"/>
      <c r="AP39" s="12"/>
      <c r="AQ39" s="12"/>
      <c r="AR39" s="12"/>
      <c r="AS39" s="12"/>
      <c r="AT39" s="263"/>
      <c r="AU39" s="12"/>
      <c r="AV39" s="12"/>
      <c r="AW39" s="12"/>
      <c r="AX39" s="12"/>
      <c r="AY39" s="263"/>
      <c r="AZ39" s="12"/>
      <c r="BA39" s="12"/>
      <c r="BB39" s="12"/>
      <c r="BC39" s="12"/>
      <c r="BD39" s="263"/>
      <c r="BE39" s="12"/>
      <c r="BF39" s="12"/>
    </row>
    <row r="40" spans="1:16381" ht="15" customHeight="1">
      <c r="A40" s="361"/>
      <c r="B40" s="361"/>
      <c r="C40" s="362"/>
      <c r="D40" s="362"/>
      <c r="E40" s="362"/>
      <c r="F40" s="362"/>
      <c r="G40" s="362"/>
      <c r="H40" s="362"/>
      <c r="I40" s="363"/>
      <c r="J40" s="364"/>
      <c r="U40" s="10"/>
      <c r="V40" s="10"/>
      <c r="W40" s="10"/>
      <c r="X40" s="10"/>
      <c r="Y40" s="270"/>
      <c r="Z40" s="10"/>
      <c r="AA40" s="10"/>
      <c r="AB40" s="10"/>
      <c r="AC40" s="10"/>
      <c r="AD40" s="270"/>
      <c r="AE40" s="10"/>
      <c r="AF40" s="10"/>
      <c r="AG40" s="10"/>
      <c r="AH40" s="10"/>
      <c r="AI40" s="270"/>
      <c r="AJ40" s="10"/>
      <c r="AK40" s="562"/>
      <c r="AL40" s="7"/>
      <c r="AM40" s="10"/>
      <c r="AN40" s="10"/>
      <c r="AO40" s="270"/>
      <c r="AP40" s="10"/>
      <c r="AQ40" s="10"/>
      <c r="AR40" s="10"/>
      <c r="AS40" s="10"/>
      <c r="AT40" s="270"/>
      <c r="AU40" s="10"/>
      <c r="AV40" s="10"/>
      <c r="AW40" s="10"/>
      <c r="AX40" s="10"/>
      <c r="AY40" s="270"/>
      <c r="AZ40" s="10"/>
      <c r="BA40" s="10"/>
      <c r="BB40" s="10"/>
      <c r="BC40" s="10"/>
      <c r="BD40" s="270"/>
      <c r="BE40" s="10"/>
      <c r="BF40" s="10"/>
    </row>
    <row r="41" spans="1:16381" ht="28.5" customHeight="1">
      <c r="A41" s="361"/>
      <c r="B41" s="361"/>
      <c r="C41" s="362"/>
      <c r="D41" s="362"/>
      <c r="E41" s="362"/>
      <c r="F41" s="362"/>
      <c r="G41" s="362"/>
      <c r="H41" s="362"/>
      <c r="I41" s="363"/>
      <c r="J41" s="364"/>
      <c r="U41" s="10"/>
      <c r="V41" s="10"/>
      <c r="W41" s="10"/>
      <c r="X41" s="10"/>
      <c r="Y41" s="270"/>
      <c r="Z41" s="10"/>
      <c r="AA41" s="10"/>
      <c r="AB41" s="10"/>
      <c r="AC41" s="10"/>
      <c r="AD41" s="270"/>
      <c r="AE41" s="10"/>
      <c r="AF41" s="10"/>
      <c r="AG41" s="10"/>
      <c r="AH41" s="10"/>
      <c r="AI41" s="270"/>
      <c r="AJ41" s="10"/>
      <c r="AK41" s="562"/>
      <c r="AL41" s="7"/>
      <c r="AM41" s="10"/>
      <c r="AN41" s="10"/>
      <c r="AO41" s="270"/>
      <c r="AP41" s="10"/>
      <c r="AQ41" s="10"/>
      <c r="AR41" s="10"/>
      <c r="AS41" s="10"/>
      <c r="AT41" s="270"/>
      <c r="AU41" s="10"/>
      <c r="AV41" s="10"/>
      <c r="AW41" s="10"/>
      <c r="AX41" s="10"/>
      <c r="AY41" s="270"/>
      <c r="AZ41" s="10"/>
      <c r="BA41" s="10"/>
      <c r="BB41" s="10"/>
      <c r="BC41" s="10"/>
      <c r="BD41" s="270"/>
      <c r="BE41" s="10"/>
      <c r="BF41" s="10"/>
    </row>
    <row r="42" spans="1:16381" ht="28.5" customHeight="1">
      <c r="A42" s="361"/>
      <c r="B42" s="361"/>
      <c r="C42" s="362"/>
      <c r="D42" s="362"/>
      <c r="E42" s="362"/>
      <c r="F42" s="362"/>
      <c r="G42" s="362"/>
      <c r="H42" s="362"/>
      <c r="I42" s="363"/>
      <c r="J42" s="364"/>
      <c r="U42" s="10"/>
      <c r="V42" s="10"/>
      <c r="W42" s="10"/>
      <c r="X42" s="10"/>
      <c r="Y42" s="270"/>
      <c r="Z42" s="10"/>
      <c r="AA42" s="10"/>
      <c r="AB42" s="10"/>
      <c r="AC42" s="10"/>
      <c r="AD42" s="270"/>
      <c r="AE42" s="10"/>
      <c r="AF42" s="10"/>
      <c r="AG42" s="10"/>
      <c r="AH42" s="10"/>
      <c r="AI42" s="270"/>
      <c r="AJ42" s="10"/>
      <c r="AK42" s="562"/>
      <c r="AL42" s="7"/>
      <c r="AM42" s="10"/>
      <c r="AN42" s="10"/>
      <c r="AO42" s="270"/>
      <c r="AP42" s="10"/>
      <c r="AQ42" s="10"/>
      <c r="AR42" s="10"/>
      <c r="AS42" s="10"/>
      <c r="AT42" s="270"/>
      <c r="AU42" s="10"/>
      <c r="AV42" s="10"/>
      <c r="AW42" s="10"/>
      <c r="AX42" s="10"/>
      <c r="AY42" s="270"/>
      <c r="AZ42" s="10"/>
      <c r="BA42" s="10"/>
      <c r="BB42" s="10"/>
      <c r="BC42" s="10"/>
      <c r="BD42" s="270"/>
      <c r="BE42" s="10"/>
      <c r="BF42" s="10"/>
    </row>
    <row r="43" spans="1:16381" ht="28.5" customHeight="1">
      <c r="A43" s="361"/>
      <c r="B43" s="361"/>
      <c r="C43" s="362"/>
      <c r="D43" s="362"/>
      <c r="E43" s="362"/>
      <c r="F43" s="362"/>
      <c r="G43" s="362"/>
      <c r="H43" s="362"/>
      <c r="I43" s="363"/>
      <c r="J43" s="364"/>
      <c r="U43" s="10"/>
      <c r="V43" s="10"/>
      <c r="W43" s="10"/>
      <c r="X43" s="10"/>
      <c r="Y43" s="270"/>
      <c r="Z43" s="10"/>
      <c r="AA43" s="10"/>
      <c r="AB43" s="10"/>
      <c r="AC43" s="10"/>
      <c r="AD43" s="270"/>
      <c r="AE43" s="10"/>
      <c r="AF43" s="10"/>
      <c r="AG43" s="10"/>
      <c r="AH43" s="10"/>
      <c r="AI43" s="270"/>
      <c r="AJ43" s="10"/>
      <c r="AK43" s="562"/>
      <c r="AL43" s="7"/>
      <c r="AM43" s="10"/>
      <c r="AN43" s="10"/>
      <c r="AO43" s="270"/>
      <c r="AP43" s="10"/>
      <c r="AQ43" s="10"/>
      <c r="AR43" s="10"/>
      <c r="AS43" s="10"/>
      <c r="AT43" s="270"/>
      <c r="AU43" s="10"/>
      <c r="AV43" s="10"/>
      <c r="AW43" s="10"/>
      <c r="AX43" s="10"/>
      <c r="AY43" s="270"/>
      <c r="AZ43" s="10"/>
      <c r="BA43" s="10"/>
      <c r="BB43" s="10"/>
      <c r="BC43" s="10"/>
      <c r="BD43" s="270"/>
      <c r="BE43" s="10"/>
      <c r="BF43" s="10"/>
    </row>
    <row r="44" spans="1:16381" ht="28.5" customHeight="1">
      <c r="A44" s="361"/>
      <c r="B44" s="361"/>
      <c r="C44" s="362"/>
      <c r="D44" s="362"/>
      <c r="E44" s="362"/>
      <c r="F44" s="362"/>
      <c r="G44" s="362"/>
      <c r="H44" s="362"/>
      <c r="I44" s="363"/>
      <c r="J44" s="364"/>
      <c r="U44" s="10"/>
      <c r="V44" s="10"/>
      <c r="W44" s="10"/>
      <c r="X44" s="10"/>
      <c r="Y44" s="270"/>
      <c r="Z44" s="10"/>
      <c r="AA44" s="10"/>
      <c r="AB44" s="10"/>
      <c r="AC44" s="10"/>
      <c r="AD44" s="270"/>
      <c r="AE44" s="10"/>
      <c r="AF44" s="10"/>
      <c r="AG44" s="10"/>
      <c r="AH44" s="10"/>
      <c r="AI44" s="270"/>
      <c r="AJ44" s="10"/>
      <c r="AK44" s="562"/>
      <c r="AL44" s="7"/>
      <c r="AM44" s="10"/>
      <c r="AN44" s="10"/>
      <c r="AO44" s="270"/>
      <c r="AP44" s="10"/>
      <c r="AQ44" s="10"/>
      <c r="AR44" s="10"/>
      <c r="AS44" s="10"/>
      <c r="AT44" s="270"/>
      <c r="AU44" s="10"/>
      <c r="AV44" s="10"/>
      <c r="AW44" s="10"/>
      <c r="AX44" s="10"/>
      <c r="AY44" s="270"/>
      <c r="AZ44" s="10"/>
      <c r="BA44" s="10"/>
      <c r="BB44" s="10"/>
      <c r="BC44" s="10"/>
      <c r="BD44" s="270"/>
      <c r="BE44" s="10"/>
      <c r="BF44" s="10"/>
    </row>
    <row r="45" spans="1:16381" ht="28.5" customHeight="1">
      <c r="A45" s="361"/>
      <c r="B45" s="361"/>
      <c r="C45" s="362"/>
      <c r="D45" s="362"/>
      <c r="E45" s="362"/>
      <c r="F45" s="362"/>
      <c r="G45" s="362"/>
      <c r="H45" s="362"/>
      <c r="I45" s="363"/>
      <c r="J45" s="364"/>
      <c r="U45" s="10"/>
      <c r="V45" s="10"/>
      <c r="W45" s="10"/>
      <c r="X45" s="10"/>
      <c r="Y45" s="270"/>
      <c r="Z45" s="10"/>
      <c r="AA45" s="10"/>
      <c r="AB45" s="10"/>
      <c r="AC45" s="10"/>
      <c r="AD45" s="270"/>
      <c r="AE45" s="10"/>
      <c r="AF45" s="10"/>
      <c r="AG45" s="10"/>
      <c r="AH45" s="10"/>
      <c r="AI45" s="270"/>
      <c r="AJ45" s="10"/>
      <c r="AK45" s="562"/>
      <c r="AL45" s="7"/>
      <c r="AM45" s="10"/>
      <c r="AN45" s="10"/>
      <c r="AO45" s="270"/>
      <c r="AP45" s="10"/>
      <c r="AQ45" s="10"/>
      <c r="AR45" s="10"/>
      <c r="AS45" s="10"/>
      <c r="AT45" s="270"/>
      <c r="AU45" s="10"/>
      <c r="AV45" s="10"/>
      <c r="AW45" s="10"/>
      <c r="AX45" s="10"/>
      <c r="AY45" s="270"/>
      <c r="AZ45" s="10"/>
      <c r="BA45" s="10"/>
      <c r="BB45" s="10"/>
      <c r="BC45" s="10"/>
      <c r="BD45" s="270"/>
      <c r="BE45" s="10"/>
      <c r="BF45" s="10"/>
    </row>
    <row r="46" spans="1:16381" ht="28.5" customHeight="1">
      <c r="A46" s="361"/>
      <c r="B46" s="361"/>
      <c r="C46" s="362"/>
      <c r="D46" s="362"/>
      <c r="E46" s="362"/>
      <c r="F46" s="362"/>
      <c r="G46" s="362"/>
      <c r="H46" s="362"/>
      <c r="I46" s="363"/>
      <c r="J46" s="364"/>
      <c r="U46" s="10"/>
      <c r="V46" s="10"/>
      <c r="W46" s="10"/>
      <c r="X46" s="10"/>
      <c r="Y46" s="270"/>
      <c r="Z46" s="10"/>
      <c r="AA46" s="10"/>
      <c r="AB46" s="10"/>
      <c r="AC46" s="10"/>
      <c r="AD46" s="270"/>
      <c r="AE46" s="10"/>
      <c r="AF46" s="10"/>
      <c r="AG46" s="10"/>
      <c r="AH46" s="10"/>
      <c r="AI46" s="270"/>
      <c r="AJ46" s="10"/>
      <c r="AK46" s="562"/>
      <c r="AL46" s="7"/>
      <c r="AM46" s="10"/>
      <c r="AN46" s="10"/>
      <c r="AO46" s="270"/>
      <c r="AP46" s="10"/>
      <c r="AQ46" s="10"/>
      <c r="AR46" s="10"/>
      <c r="AS46" s="10"/>
      <c r="AT46" s="270"/>
      <c r="AU46" s="10"/>
      <c r="AV46" s="10"/>
      <c r="AW46" s="10"/>
      <c r="AX46" s="10"/>
      <c r="AY46" s="270"/>
      <c r="AZ46" s="10"/>
      <c r="BA46" s="10"/>
      <c r="BB46" s="10"/>
      <c r="BC46" s="10"/>
      <c r="BD46" s="270"/>
      <c r="BE46" s="10"/>
      <c r="BF46" s="10"/>
    </row>
    <row r="47" spans="1:16381" ht="28.5" customHeight="1">
      <c r="A47" s="361"/>
      <c r="B47" s="361"/>
      <c r="C47" s="362"/>
      <c r="D47" s="362"/>
      <c r="E47" s="362"/>
      <c r="F47" s="362"/>
      <c r="G47" s="362"/>
      <c r="H47" s="362"/>
      <c r="I47" s="363"/>
      <c r="J47" s="364"/>
      <c r="U47" s="10"/>
      <c r="V47" s="10"/>
      <c r="W47" s="10"/>
      <c r="X47" s="10"/>
      <c r="Y47" s="270"/>
      <c r="Z47" s="10"/>
      <c r="AA47" s="10"/>
      <c r="AB47" s="10"/>
      <c r="AC47" s="10"/>
      <c r="AD47" s="270"/>
      <c r="AE47" s="10"/>
      <c r="AF47" s="10"/>
      <c r="AG47" s="10"/>
      <c r="AH47" s="10"/>
      <c r="AI47" s="270"/>
      <c r="AJ47" s="10"/>
      <c r="AK47" s="562"/>
      <c r="AL47" s="7"/>
      <c r="AM47" s="10"/>
      <c r="AN47" s="10"/>
      <c r="AO47" s="270"/>
      <c r="AP47" s="10"/>
      <c r="AQ47" s="10"/>
      <c r="AR47" s="10"/>
      <c r="AS47" s="10"/>
      <c r="AT47" s="270"/>
      <c r="AU47" s="10"/>
      <c r="AV47" s="10"/>
      <c r="AW47" s="10"/>
      <c r="AX47" s="10"/>
      <c r="AY47" s="270"/>
      <c r="AZ47" s="10"/>
      <c r="BA47" s="10"/>
      <c r="BB47" s="10"/>
      <c r="BC47" s="10"/>
      <c r="BD47" s="270"/>
      <c r="BE47" s="10"/>
      <c r="BF47" s="10"/>
    </row>
    <row r="48" spans="1:16381" ht="28.5" customHeight="1">
      <c r="A48" s="361"/>
      <c r="B48" s="361"/>
      <c r="C48" s="362"/>
      <c r="D48" s="362"/>
      <c r="E48" s="362"/>
      <c r="F48" s="362"/>
      <c r="G48" s="362"/>
      <c r="H48" s="362"/>
      <c r="I48" s="363"/>
      <c r="J48" s="364"/>
      <c r="U48" s="10"/>
      <c r="V48" s="10"/>
      <c r="W48" s="10"/>
      <c r="X48" s="10"/>
      <c r="Y48" s="270"/>
      <c r="Z48" s="10"/>
      <c r="AA48" s="10"/>
      <c r="AB48" s="10"/>
      <c r="AC48" s="10"/>
      <c r="AD48" s="270"/>
      <c r="AE48" s="10"/>
      <c r="AF48" s="10"/>
      <c r="AG48" s="10"/>
      <c r="AH48" s="10"/>
      <c r="AI48" s="270"/>
      <c r="AJ48" s="10"/>
      <c r="AK48" s="562"/>
      <c r="AL48" s="7"/>
      <c r="AM48" s="10"/>
      <c r="AN48" s="10"/>
      <c r="AO48" s="270"/>
      <c r="AP48" s="10"/>
      <c r="AQ48" s="10"/>
      <c r="AR48" s="10"/>
      <c r="AS48" s="10"/>
      <c r="AT48" s="270"/>
      <c r="AU48" s="10"/>
      <c r="AV48" s="10"/>
      <c r="AW48" s="10"/>
      <c r="AX48" s="10"/>
      <c r="AY48" s="270"/>
      <c r="AZ48" s="10"/>
      <c r="BA48" s="10"/>
      <c r="BB48" s="10"/>
      <c r="BC48" s="10"/>
      <c r="BD48" s="270"/>
      <c r="BE48" s="10"/>
      <c r="BF48" s="10"/>
    </row>
    <row r="49" spans="1:58" ht="28.5" customHeight="1">
      <c r="A49" s="361"/>
      <c r="B49" s="361"/>
      <c r="C49" s="362"/>
      <c r="D49" s="362"/>
      <c r="E49" s="362"/>
      <c r="F49" s="362"/>
      <c r="G49" s="362"/>
      <c r="H49" s="362"/>
      <c r="I49" s="363"/>
      <c r="J49" s="364"/>
      <c r="U49" s="10"/>
      <c r="V49" s="10"/>
      <c r="W49" s="10"/>
      <c r="X49" s="10"/>
      <c r="Y49" s="270"/>
      <c r="Z49" s="10"/>
      <c r="AA49" s="10"/>
      <c r="AB49" s="10"/>
      <c r="AC49" s="10"/>
      <c r="AD49" s="270"/>
      <c r="AE49" s="10"/>
      <c r="AF49" s="10"/>
      <c r="AG49" s="10"/>
      <c r="AH49" s="10"/>
      <c r="AI49" s="270"/>
      <c r="AJ49" s="10"/>
      <c r="AK49" s="562"/>
      <c r="AL49" s="7"/>
      <c r="AM49" s="10"/>
      <c r="AN49" s="10"/>
      <c r="AO49" s="270"/>
      <c r="AP49" s="10"/>
      <c r="AQ49" s="10"/>
      <c r="AR49" s="10"/>
      <c r="AS49" s="10"/>
      <c r="AT49" s="270"/>
      <c r="AU49" s="10"/>
      <c r="AV49" s="10"/>
      <c r="AW49" s="10"/>
      <c r="AX49" s="10"/>
      <c r="AY49" s="270"/>
      <c r="AZ49" s="10"/>
      <c r="BA49" s="10"/>
      <c r="BB49" s="10"/>
      <c r="BC49" s="10"/>
      <c r="BD49" s="270"/>
      <c r="BE49" s="10"/>
      <c r="BF49" s="10"/>
    </row>
    <row r="50" spans="1:58" ht="28.5" customHeight="1">
      <c r="A50" s="361"/>
      <c r="B50" s="361"/>
      <c r="C50" s="362"/>
      <c r="D50" s="362"/>
      <c r="E50" s="362"/>
      <c r="F50" s="362"/>
      <c r="G50" s="362"/>
      <c r="H50" s="362"/>
      <c r="I50" s="363"/>
      <c r="J50" s="364"/>
      <c r="AL50" s="7"/>
    </row>
    <row r="51" spans="1:58" ht="28.5" customHeight="1">
      <c r="AL51" s="7"/>
    </row>
    <row r="52" spans="1:58" ht="28.5" customHeight="1">
      <c r="AL52" s="7"/>
    </row>
    <row r="53" spans="1:58" ht="28.5" customHeight="1">
      <c r="AL53" s="7"/>
    </row>
  </sheetData>
  <mergeCells count="2903">
    <mergeCell ref="XBY36:XCO36"/>
    <mergeCell ref="XCP36:XDF36"/>
    <mergeCell ref="XDG36:XDW36"/>
    <mergeCell ref="XDX36:XEN36"/>
    <mergeCell ref="XEO36:XFA36"/>
    <mergeCell ref="WYR36:WZH36"/>
    <mergeCell ref="WZI36:WZY36"/>
    <mergeCell ref="WZZ36:XAP36"/>
    <mergeCell ref="XAQ36:XBG36"/>
    <mergeCell ref="XBH36:XBX36"/>
    <mergeCell ref="WVK36:WWA36"/>
    <mergeCell ref="WWB36:WWR36"/>
    <mergeCell ref="WWS36:WXI36"/>
    <mergeCell ref="WXJ36:WXZ36"/>
    <mergeCell ref="WYA36:WYQ36"/>
    <mergeCell ref="WSD36:WST36"/>
    <mergeCell ref="WSU36:WTK36"/>
    <mergeCell ref="WTL36:WUB36"/>
    <mergeCell ref="WUC36:WUS36"/>
    <mergeCell ref="WUT36:WVJ36"/>
    <mergeCell ref="WOW36:WPM36"/>
    <mergeCell ref="WPN36:WQD36"/>
    <mergeCell ref="WQE36:WQU36"/>
    <mergeCell ref="WQV36:WRL36"/>
    <mergeCell ref="WRM36:WSC36"/>
    <mergeCell ref="WLP36:WMF36"/>
    <mergeCell ref="WMG36:WMW36"/>
    <mergeCell ref="WMX36:WNN36"/>
    <mergeCell ref="WNO36:WOE36"/>
    <mergeCell ref="WOF36:WOV36"/>
    <mergeCell ref="WII36:WIY36"/>
    <mergeCell ref="WIZ36:WJP36"/>
    <mergeCell ref="WJQ36:WKG36"/>
    <mergeCell ref="WKH36:WKX36"/>
    <mergeCell ref="WKY36:WLO36"/>
    <mergeCell ref="WFB36:WFR36"/>
    <mergeCell ref="WFS36:WGI36"/>
    <mergeCell ref="WGJ36:WGZ36"/>
    <mergeCell ref="WHA36:WHQ36"/>
    <mergeCell ref="WHR36:WIH36"/>
    <mergeCell ref="WBU36:WCK36"/>
    <mergeCell ref="WCL36:WDB36"/>
    <mergeCell ref="WDC36:WDS36"/>
    <mergeCell ref="WDT36:WEJ36"/>
    <mergeCell ref="WEK36:WFA36"/>
    <mergeCell ref="VYN36:VZD36"/>
    <mergeCell ref="VZE36:VZU36"/>
    <mergeCell ref="VZV36:WAL36"/>
    <mergeCell ref="WAM36:WBC36"/>
    <mergeCell ref="WBD36:WBT36"/>
    <mergeCell ref="VVG36:VVW36"/>
    <mergeCell ref="VVX36:VWN36"/>
    <mergeCell ref="VWO36:VXE36"/>
    <mergeCell ref="VXF36:VXV36"/>
    <mergeCell ref="VXW36:VYM36"/>
    <mergeCell ref="VRZ36:VSP36"/>
    <mergeCell ref="VSQ36:VTG36"/>
    <mergeCell ref="VTH36:VTX36"/>
    <mergeCell ref="VTY36:VUO36"/>
    <mergeCell ref="VUP36:VVF36"/>
    <mergeCell ref="VOS36:VPI36"/>
    <mergeCell ref="VPJ36:VPZ36"/>
    <mergeCell ref="VQA36:VQQ36"/>
    <mergeCell ref="VQR36:VRH36"/>
    <mergeCell ref="VRI36:VRY36"/>
    <mergeCell ref="VLL36:VMB36"/>
    <mergeCell ref="VMC36:VMS36"/>
    <mergeCell ref="VMT36:VNJ36"/>
    <mergeCell ref="VNK36:VOA36"/>
    <mergeCell ref="VOB36:VOR36"/>
    <mergeCell ref="VIE36:VIU36"/>
    <mergeCell ref="VIV36:VJL36"/>
    <mergeCell ref="VJM36:VKC36"/>
    <mergeCell ref="VKD36:VKT36"/>
    <mergeCell ref="VKU36:VLK36"/>
    <mergeCell ref="VEX36:VFN36"/>
    <mergeCell ref="VFO36:VGE36"/>
    <mergeCell ref="VGF36:VGV36"/>
    <mergeCell ref="VGW36:VHM36"/>
    <mergeCell ref="VHN36:VID36"/>
    <mergeCell ref="VBQ36:VCG36"/>
    <mergeCell ref="VCH36:VCX36"/>
    <mergeCell ref="VCY36:VDO36"/>
    <mergeCell ref="VDP36:VEF36"/>
    <mergeCell ref="VEG36:VEW36"/>
    <mergeCell ref="UYJ36:UYZ36"/>
    <mergeCell ref="UZA36:UZQ36"/>
    <mergeCell ref="UZR36:VAH36"/>
    <mergeCell ref="VAI36:VAY36"/>
    <mergeCell ref="VAZ36:VBP36"/>
    <mergeCell ref="UVC36:UVS36"/>
    <mergeCell ref="UVT36:UWJ36"/>
    <mergeCell ref="UWK36:UXA36"/>
    <mergeCell ref="UXB36:UXR36"/>
    <mergeCell ref="UXS36:UYI36"/>
    <mergeCell ref="URV36:USL36"/>
    <mergeCell ref="USM36:UTC36"/>
    <mergeCell ref="UTD36:UTT36"/>
    <mergeCell ref="UTU36:UUK36"/>
    <mergeCell ref="UUL36:UVB36"/>
    <mergeCell ref="UOO36:UPE36"/>
    <mergeCell ref="UPF36:UPV36"/>
    <mergeCell ref="UPW36:UQM36"/>
    <mergeCell ref="UQN36:URD36"/>
    <mergeCell ref="URE36:URU36"/>
    <mergeCell ref="ULH36:ULX36"/>
    <mergeCell ref="ULY36:UMO36"/>
    <mergeCell ref="UMP36:UNF36"/>
    <mergeCell ref="UNG36:UNW36"/>
    <mergeCell ref="UNX36:UON36"/>
    <mergeCell ref="UIA36:UIQ36"/>
    <mergeCell ref="UIR36:UJH36"/>
    <mergeCell ref="UJI36:UJY36"/>
    <mergeCell ref="UJZ36:UKP36"/>
    <mergeCell ref="UKQ36:ULG36"/>
    <mergeCell ref="UET36:UFJ36"/>
    <mergeCell ref="UFK36:UGA36"/>
    <mergeCell ref="UGB36:UGR36"/>
    <mergeCell ref="UGS36:UHI36"/>
    <mergeCell ref="UHJ36:UHZ36"/>
    <mergeCell ref="UBM36:UCC36"/>
    <mergeCell ref="UCD36:UCT36"/>
    <mergeCell ref="UCU36:UDK36"/>
    <mergeCell ref="UDL36:UEB36"/>
    <mergeCell ref="UEC36:UES36"/>
    <mergeCell ref="TYF36:TYV36"/>
    <mergeCell ref="TYW36:TZM36"/>
    <mergeCell ref="TZN36:UAD36"/>
    <mergeCell ref="UAE36:UAU36"/>
    <mergeCell ref="UAV36:UBL36"/>
    <mergeCell ref="TUY36:TVO36"/>
    <mergeCell ref="TVP36:TWF36"/>
    <mergeCell ref="TWG36:TWW36"/>
    <mergeCell ref="TWX36:TXN36"/>
    <mergeCell ref="TXO36:TYE36"/>
    <mergeCell ref="TRR36:TSH36"/>
    <mergeCell ref="TSI36:TSY36"/>
    <mergeCell ref="TSZ36:TTP36"/>
    <mergeCell ref="TTQ36:TUG36"/>
    <mergeCell ref="TUH36:TUX36"/>
    <mergeCell ref="TOK36:TPA36"/>
    <mergeCell ref="TPB36:TPR36"/>
    <mergeCell ref="TPS36:TQI36"/>
    <mergeCell ref="TQJ36:TQZ36"/>
    <mergeCell ref="TRA36:TRQ36"/>
    <mergeCell ref="TLD36:TLT36"/>
    <mergeCell ref="TLU36:TMK36"/>
    <mergeCell ref="TML36:TNB36"/>
    <mergeCell ref="TNC36:TNS36"/>
    <mergeCell ref="TNT36:TOJ36"/>
    <mergeCell ref="THW36:TIM36"/>
    <mergeCell ref="TIN36:TJD36"/>
    <mergeCell ref="TJE36:TJU36"/>
    <mergeCell ref="TJV36:TKL36"/>
    <mergeCell ref="TKM36:TLC36"/>
    <mergeCell ref="TEP36:TFF36"/>
    <mergeCell ref="TFG36:TFW36"/>
    <mergeCell ref="TFX36:TGN36"/>
    <mergeCell ref="TGO36:THE36"/>
    <mergeCell ref="THF36:THV36"/>
    <mergeCell ref="TBI36:TBY36"/>
    <mergeCell ref="TBZ36:TCP36"/>
    <mergeCell ref="TCQ36:TDG36"/>
    <mergeCell ref="TDH36:TDX36"/>
    <mergeCell ref="TDY36:TEO36"/>
    <mergeCell ref="SYB36:SYR36"/>
    <mergeCell ref="SYS36:SZI36"/>
    <mergeCell ref="SZJ36:SZZ36"/>
    <mergeCell ref="TAA36:TAQ36"/>
    <mergeCell ref="TAR36:TBH36"/>
    <mergeCell ref="SUU36:SVK36"/>
    <mergeCell ref="SVL36:SWB36"/>
    <mergeCell ref="SWC36:SWS36"/>
    <mergeCell ref="SWT36:SXJ36"/>
    <mergeCell ref="SXK36:SYA36"/>
    <mergeCell ref="SRN36:SSD36"/>
    <mergeCell ref="SSE36:SSU36"/>
    <mergeCell ref="SSV36:STL36"/>
    <mergeCell ref="STM36:SUC36"/>
    <mergeCell ref="SUD36:SUT36"/>
    <mergeCell ref="SOG36:SOW36"/>
    <mergeCell ref="SOX36:SPN36"/>
    <mergeCell ref="SPO36:SQE36"/>
    <mergeCell ref="SQF36:SQV36"/>
    <mergeCell ref="SQW36:SRM36"/>
    <mergeCell ref="SKZ36:SLP36"/>
    <mergeCell ref="SLQ36:SMG36"/>
    <mergeCell ref="SMH36:SMX36"/>
    <mergeCell ref="SMY36:SNO36"/>
    <mergeCell ref="SNP36:SOF36"/>
    <mergeCell ref="SHS36:SII36"/>
    <mergeCell ref="SIJ36:SIZ36"/>
    <mergeCell ref="SJA36:SJQ36"/>
    <mergeCell ref="SJR36:SKH36"/>
    <mergeCell ref="SKI36:SKY36"/>
    <mergeCell ref="SEL36:SFB36"/>
    <mergeCell ref="SFC36:SFS36"/>
    <mergeCell ref="SFT36:SGJ36"/>
    <mergeCell ref="SGK36:SHA36"/>
    <mergeCell ref="SHB36:SHR36"/>
    <mergeCell ref="SBE36:SBU36"/>
    <mergeCell ref="SBV36:SCL36"/>
    <mergeCell ref="SCM36:SDC36"/>
    <mergeCell ref="SDD36:SDT36"/>
    <mergeCell ref="SDU36:SEK36"/>
    <mergeCell ref="RXX36:RYN36"/>
    <mergeCell ref="RYO36:RZE36"/>
    <mergeCell ref="RZF36:RZV36"/>
    <mergeCell ref="RZW36:SAM36"/>
    <mergeCell ref="SAN36:SBD36"/>
    <mergeCell ref="RUQ36:RVG36"/>
    <mergeCell ref="RVH36:RVX36"/>
    <mergeCell ref="RVY36:RWO36"/>
    <mergeCell ref="RWP36:RXF36"/>
    <mergeCell ref="RXG36:RXW36"/>
    <mergeCell ref="RRJ36:RRZ36"/>
    <mergeCell ref="RSA36:RSQ36"/>
    <mergeCell ref="RSR36:RTH36"/>
    <mergeCell ref="RTI36:RTY36"/>
    <mergeCell ref="RTZ36:RUP36"/>
    <mergeCell ref="ROC36:ROS36"/>
    <mergeCell ref="ROT36:RPJ36"/>
    <mergeCell ref="RPK36:RQA36"/>
    <mergeCell ref="RQB36:RQR36"/>
    <mergeCell ref="RQS36:RRI36"/>
    <mergeCell ref="RKV36:RLL36"/>
    <mergeCell ref="RLM36:RMC36"/>
    <mergeCell ref="RMD36:RMT36"/>
    <mergeCell ref="RMU36:RNK36"/>
    <mergeCell ref="RNL36:ROB36"/>
    <mergeCell ref="RHO36:RIE36"/>
    <mergeCell ref="RIF36:RIV36"/>
    <mergeCell ref="RIW36:RJM36"/>
    <mergeCell ref="RJN36:RKD36"/>
    <mergeCell ref="RKE36:RKU36"/>
    <mergeCell ref="REH36:REX36"/>
    <mergeCell ref="REY36:RFO36"/>
    <mergeCell ref="RFP36:RGF36"/>
    <mergeCell ref="RGG36:RGW36"/>
    <mergeCell ref="RGX36:RHN36"/>
    <mergeCell ref="RBA36:RBQ36"/>
    <mergeCell ref="RBR36:RCH36"/>
    <mergeCell ref="RCI36:RCY36"/>
    <mergeCell ref="RCZ36:RDP36"/>
    <mergeCell ref="RDQ36:REG36"/>
    <mergeCell ref="QXT36:QYJ36"/>
    <mergeCell ref="QYK36:QZA36"/>
    <mergeCell ref="QZB36:QZR36"/>
    <mergeCell ref="QZS36:RAI36"/>
    <mergeCell ref="RAJ36:RAZ36"/>
    <mergeCell ref="QUM36:QVC36"/>
    <mergeCell ref="QVD36:QVT36"/>
    <mergeCell ref="QVU36:QWK36"/>
    <mergeCell ref="QWL36:QXB36"/>
    <mergeCell ref="QXC36:QXS36"/>
    <mergeCell ref="QRF36:QRV36"/>
    <mergeCell ref="QRW36:QSM36"/>
    <mergeCell ref="QSN36:QTD36"/>
    <mergeCell ref="QTE36:QTU36"/>
    <mergeCell ref="QTV36:QUL36"/>
    <mergeCell ref="QNY36:QOO36"/>
    <mergeCell ref="QOP36:QPF36"/>
    <mergeCell ref="QPG36:QPW36"/>
    <mergeCell ref="QPX36:QQN36"/>
    <mergeCell ref="QQO36:QRE36"/>
    <mergeCell ref="QKR36:QLH36"/>
    <mergeCell ref="QLI36:QLY36"/>
    <mergeCell ref="QLZ36:QMP36"/>
    <mergeCell ref="QMQ36:QNG36"/>
    <mergeCell ref="QNH36:QNX36"/>
    <mergeCell ref="QHK36:QIA36"/>
    <mergeCell ref="QIB36:QIR36"/>
    <mergeCell ref="QIS36:QJI36"/>
    <mergeCell ref="QJJ36:QJZ36"/>
    <mergeCell ref="QKA36:QKQ36"/>
    <mergeCell ref="QED36:QET36"/>
    <mergeCell ref="QEU36:QFK36"/>
    <mergeCell ref="QFL36:QGB36"/>
    <mergeCell ref="QGC36:QGS36"/>
    <mergeCell ref="QGT36:QHJ36"/>
    <mergeCell ref="QAW36:QBM36"/>
    <mergeCell ref="QBN36:QCD36"/>
    <mergeCell ref="QCE36:QCU36"/>
    <mergeCell ref="QCV36:QDL36"/>
    <mergeCell ref="QDM36:QEC36"/>
    <mergeCell ref="PXP36:PYF36"/>
    <mergeCell ref="PYG36:PYW36"/>
    <mergeCell ref="PYX36:PZN36"/>
    <mergeCell ref="PZO36:QAE36"/>
    <mergeCell ref="QAF36:QAV36"/>
    <mergeCell ref="PUI36:PUY36"/>
    <mergeCell ref="PUZ36:PVP36"/>
    <mergeCell ref="PVQ36:PWG36"/>
    <mergeCell ref="PWH36:PWX36"/>
    <mergeCell ref="PWY36:PXO36"/>
    <mergeCell ref="PRB36:PRR36"/>
    <mergeCell ref="PRS36:PSI36"/>
    <mergeCell ref="PSJ36:PSZ36"/>
    <mergeCell ref="PTA36:PTQ36"/>
    <mergeCell ref="PTR36:PUH36"/>
    <mergeCell ref="PNU36:POK36"/>
    <mergeCell ref="POL36:PPB36"/>
    <mergeCell ref="PPC36:PPS36"/>
    <mergeCell ref="PPT36:PQJ36"/>
    <mergeCell ref="PQK36:PRA36"/>
    <mergeCell ref="PKN36:PLD36"/>
    <mergeCell ref="PLE36:PLU36"/>
    <mergeCell ref="PLV36:PML36"/>
    <mergeCell ref="PMM36:PNC36"/>
    <mergeCell ref="PND36:PNT36"/>
    <mergeCell ref="PHG36:PHW36"/>
    <mergeCell ref="PHX36:PIN36"/>
    <mergeCell ref="PIO36:PJE36"/>
    <mergeCell ref="PJF36:PJV36"/>
    <mergeCell ref="PJW36:PKM36"/>
    <mergeCell ref="PDZ36:PEP36"/>
    <mergeCell ref="PEQ36:PFG36"/>
    <mergeCell ref="PFH36:PFX36"/>
    <mergeCell ref="PFY36:PGO36"/>
    <mergeCell ref="PGP36:PHF36"/>
    <mergeCell ref="PAS36:PBI36"/>
    <mergeCell ref="PBJ36:PBZ36"/>
    <mergeCell ref="PCA36:PCQ36"/>
    <mergeCell ref="PCR36:PDH36"/>
    <mergeCell ref="PDI36:PDY36"/>
    <mergeCell ref="OXL36:OYB36"/>
    <mergeCell ref="OYC36:OYS36"/>
    <mergeCell ref="OYT36:OZJ36"/>
    <mergeCell ref="OZK36:PAA36"/>
    <mergeCell ref="PAB36:PAR36"/>
    <mergeCell ref="OUE36:OUU36"/>
    <mergeCell ref="OUV36:OVL36"/>
    <mergeCell ref="OVM36:OWC36"/>
    <mergeCell ref="OWD36:OWT36"/>
    <mergeCell ref="OWU36:OXK36"/>
    <mergeCell ref="OQX36:ORN36"/>
    <mergeCell ref="ORO36:OSE36"/>
    <mergeCell ref="OSF36:OSV36"/>
    <mergeCell ref="OSW36:OTM36"/>
    <mergeCell ref="OTN36:OUD36"/>
    <mergeCell ref="ONQ36:OOG36"/>
    <mergeCell ref="OOH36:OOX36"/>
    <mergeCell ref="OOY36:OPO36"/>
    <mergeCell ref="OPP36:OQF36"/>
    <mergeCell ref="OQG36:OQW36"/>
    <mergeCell ref="OKJ36:OKZ36"/>
    <mergeCell ref="OLA36:OLQ36"/>
    <mergeCell ref="OLR36:OMH36"/>
    <mergeCell ref="OMI36:OMY36"/>
    <mergeCell ref="OMZ36:ONP36"/>
    <mergeCell ref="OHC36:OHS36"/>
    <mergeCell ref="OHT36:OIJ36"/>
    <mergeCell ref="OIK36:OJA36"/>
    <mergeCell ref="OJB36:OJR36"/>
    <mergeCell ref="OJS36:OKI36"/>
    <mergeCell ref="ODV36:OEL36"/>
    <mergeCell ref="OEM36:OFC36"/>
    <mergeCell ref="OFD36:OFT36"/>
    <mergeCell ref="OFU36:OGK36"/>
    <mergeCell ref="OGL36:OHB36"/>
    <mergeCell ref="OAO36:OBE36"/>
    <mergeCell ref="OBF36:OBV36"/>
    <mergeCell ref="OBW36:OCM36"/>
    <mergeCell ref="OCN36:ODD36"/>
    <mergeCell ref="ODE36:ODU36"/>
    <mergeCell ref="NXH36:NXX36"/>
    <mergeCell ref="NXY36:NYO36"/>
    <mergeCell ref="NYP36:NZF36"/>
    <mergeCell ref="NZG36:NZW36"/>
    <mergeCell ref="NZX36:OAN36"/>
    <mergeCell ref="NUA36:NUQ36"/>
    <mergeCell ref="NUR36:NVH36"/>
    <mergeCell ref="NVI36:NVY36"/>
    <mergeCell ref="NVZ36:NWP36"/>
    <mergeCell ref="NWQ36:NXG36"/>
    <mergeCell ref="NQT36:NRJ36"/>
    <mergeCell ref="NRK36:NSA36"/>
    <mergeCell ref="NSB36:NSR36"/>
    <mergeCell ref="NSS36:NTI36"/>
    <mergeCell ref="NTJ36:NTZ36"/>
    <mergeCell ref="NNM36:NOC36"/>
    <mergeCell ref="NOD36:NOT36"/>
    <mergeCell ref="NOU36:NPK36"/>
    <mergeCell ref="NPL36:NQB36"/>
    <mergeCell ref="NQC36:NQS36"/>
    <mergeCell ref="NKF36:NKV36"/>
    <mergeCell ref="NKW36:NLM36"/>
    <mergeCell ref="NLN36:NMD36"/>
    <mergeCell ref="NME36:NMU36"/>
    <mergeCell ref="NMV36:NNL36"/>
    <mergeCell ref="NGY36:NHO36"/>
    <mergeCell ref="NHP36:NIF36"/>
    <mergeCell ref="NIG36:NIW36"/>
    <mergeCell ref="NIX36:NJN36"/>
    <mergeCell ref="NJO36:NKE36"/>
    <mergeCell ref="NDR36:NEH36"/>
    <mergeCell ref="NEI36:NEY36"/>
    <mergeCell ref="NEZ36:NFP36"/>
    <mergeCell ref="NFQ36:NGG36"/>
    <mergeCell ref="NGH36:NGX36"/>
    <mergeCell ref="NAK36:NBA36"/>
    <mergeCell ref="NBB36:NBR36"/>
    <mergeCell ref="NBS36:NCI36"/>
    <mergeCell ref="NCJ36:NCZ36"/>
    <mergeCell ref="NDA36:NDQ36"/>
    <mergeCell ref="MXD36:MXT36"/>
    <mergeCell ref="MXU36:MYK36"/>
    <mergeCell ref="MYL36:MZB36"/>
    <mergeCell ref="MZC36:MZS36"/>
    <mergeCell ref="MZT36:NAJ36"/>
    <mergeCell ref="MTW36:MUM36"/>
    <mergeCell ref="MUN36:MVD36"/>
    <mergeCell ref="MVE36:MVU36"/>
    <mergeCell ref="MVV36:MWL36"/>
    <mergeCell ref="MWM36:MXC36"/>
    <mergeCell ref="MQP36:MRF36"/>
    <mergeCell ref="MRG36:MRW36"/>
    <mergeCell ref="MRX36:MSN36"/>
    <mergeCell ref="MSO36:MTE36"/>
    <mergeCell ref="MTF36:MTV36"/>
    <mergeCell ref="MNI36:MNY36"/>
    <mergeCell ref="MNZ36:MOP36"/>
    <mergeCell ref="MOQ36:MPG36"/>
    <mergeCell ref="MPH36:MPX36"/>
    <mergeCell ref="MPY36:MQO36"/>
    <mergeCell ref="MKB36:MKR36"/>
    <mergeCell ref="MKS36:MLI36"/>
    <mergeCell ref="MLJ36:MLZ36"/>
    <mergeCell ref="MMA36:MMQ36"/>
    <mergeCell ref="MMR36:MNH36"/>
    <mergeCell ref="MGU36:MHK36"/>
    <mergeCell ref="MHL36:MIB36"/>
    <mergeCell ref="MIC36:MIS36"/>
    <mergeCell ref="MIT36:MJJ36"/>
    <mergeCell ref="MJK36:MKA36"/>
    <mergeCell ref="MDN36:MED36"/>
    <mergeCell ref="MEE36:MEU36"/>
    <mergeCell ref="MEV36:MFL36"/>
    <mergeCell ref="MFM36:MGC36"/>
    <mergeCell ref="MGD36:MGT36"/>
    <mergeCell ref="MAG36:MAW36"/>
    <mergeCell ref="MAX36:MBN36"/>
    <mergeCell ref="MBO36:MCE36"/>
    <mergeCell ref="MCF36:MCV36"/>
    <mergeCell ref="MCW36:MDM36"/>
    <mergeCell ref="LWZ36:LXP36"/>
    <mergeCell ref="LXQ36:LYG36"/>
    <mergeCell ref="LYH36:LYX36"/>
    <mergeCell ref="LYY36:LZO36"/>
    <mergeCell ref="LZP36:MAF36"/>
    <mergeCell ref="LTS36:LUI36"/>
    <mergeCell ref="LUJ36:LUZ36"/>
    <mergeCell ref="LVA36:LVQ36"/>
    <mergeCell ref="LVR36:LWH36"/>
    <mergeCell ref="LWI36:LWY36"/>
    <mergeCell ref="LQL36:LRB36"/>
    <mergeCell ref="LRC36:LRS36"/>
    <mergeCell ref="LRT36:LSJ36"/>
    <mergeCell ref="LSK36:LTA36"/>
    <mergeCell ref="LTB36:LTR36"/>
    <mergeCell ref="LNE36:LNU36"/>
    <mergeCell ref="LNV36:LOL36"/>
    <mergeCell ref="LOM36:LPC36"/>
    <mergeCell ref="LPD36:LPT36"/>
    <mergeCell ref="LPU36:LQK36"/>
    <mergeCell ref="LJX36:LKN36"/>
    <mergeCell ref="LKO36:LLE36"/>
    <mergeCell ref="LLF36:LLV36"/>
    <mergeCell ref="LLW36:LMM36"/>
    <mergeCell ref="LMN36:LND36"/>
    <mergeCell ref="LGQ36:LHG36"/>
    <mergeCell ref="LHH36:LHX36"/>
    <mergeCell ref="LHY36:LIO36"/>
    <mergeCell ref="LIP36:LJF36"/>
    <mergeCell ref="LJG36:LJW36"/>
    <mergeCell ref="LDJ36:LDZ36"/>
    <mergeCell ref="LEA36:LEQ36"/>
    <mergeCell ref="LER36:LFH36"/>
    <mergeCell ref="LFI36:LFY36"/>
    <mergeCell ref="LFZ36:LGP36"/>
    <mergeCell ref="LAC36:LAS36"/>
    <mergeCell ref="LAT36:LBJ36"/>
    <mergeCell ref="LBK36:LCA36"/>
    <mergeCell ref="LCB36:LCR36"/>
    <mergeCell ref="LCS36:LDI36"/>
    <mergeCell ref="KWV36:KXL36"/>
    <mergeCell ref="KXM36:KYC36"/>
    <mergeCell ref="KYD36:KYT36"/>
    <mergeCell ref="KYU36:KZK36"/>
    <mergeCell ref="KZL36:LAB36"/>
    <mergeCell ref="KTO36:KUE36"/>
    <mergeCell ref="KUF36:KUV36"/>
    <mergeCell ref="KUW36:KVM36"/>
    <mergeCell ref="KVN36:KWD36"/>
    <mergeCell ref="KWE36:KWU36"/>
    <mergeCell ref="KQH36:KQX36"/>
    <mergeCell ref="KQY36:KRO36"/>
    <mergeCell ref="KRP36:KSF36"/>
    <mergeCell ref="KSG36:KSW36"/>
    <mergeCell ref="KSX36:KTN36"/>
    <mergeCell ref="KNA36:KNQ36"/>
    <mergeCell ref="KNR36:KOH36"/>
    <mergeCell ref="KOI36:KOY36"/>
    <mergeCell ref="KOZ36:KPP36"/>
    <mergeCell ref="KPQ36:KQG36"/>
    <mergeCell ref="KJT36:KKJ36"/>
    <mergeCell ref="KKK36:KLA36"/>
    <mergeCell ref="KLB36:KLR36"/>
    <mergeCell ref="KLS36:KMI36"/>
    <mergeCell ref="KMJ36:KMZ36"/>
    <mergeCell ref="KGM36:KHC36"/>
    <mergeCell ref="KHD36:KHT36"/>
    <mergeCell ref="KHU36:KIK36"/>
    <mergeCell ref="KIL36:KJB36"/>
    <mergeCell ref="KJC36:KJS36"/>
    <mergeCell ref="KDF36:KDV36"/>
    <mergeCell ref="KDW36:KEM36"/>
    <mergeCell ref="KEN36:KFD36"/>
    <mergeCell ref="KFE36:KFU36"/>
    <mergeCell ref="KFV36:KGL36"/>
    <mergeCell ref="JZY36:KAO36"/>
    <mergeCell ref="KAP36:KBF36"/>
    <mergeCell ref="KBG36:KBW36"/>
    <mergeCell ref="KBX36:KCN36"/>
    <mergeCell ref="KCO36:KDE36"/>
    <mergeCell ref="JWR36:JXH36"/>
    <mergeCell ref="JXI36:JXY36"/>
    <mergeCell ref="JXZ36:JYP36"/>
    <mergeCell ref="JYQ36:JZG36"/>
    <mergeCell ref="JZH36:JZX36"/>
    <mergeCell ref="JTK36:JUA36"/>
    <mergeCell ref="JUB36:JUR36"/>
    <mergeCell ref="JUS36:JVI36"/>
    <mergeCell ref="JVJ36:JVZ36"/>
    <mergeCell ref="JWA36:JWQ36"/>
    <mergeCell ref="JQD36:JQT36"/>
    <mergeCell ref="JQU36:JRK36"/>
    <mergeCell ref="JRL36:JSB36"/>
    <mergeCell ref="JSC36:JSS36"/>
    <mergeCell ref="JST36:JTJ36"/>
    <mergeCell ref="JMW36:JNM36"/>
    <mergeCell ref="JNN36:JOD36"/>
    <mergeCell ref="JOE36:JOU36"/>
    <mergeCell ref="JOV36:JPL36"/>
    <mergeCell ref="JPM36:JQC36"/>
    <mergeCell ref="JJP36:JKF36"/>
    <mergeCell ref="JKG36:JKW36"/>
    <mergeCell ref="JKX36:JLN36"/>
    <mergeCell ref="JLO36:JME36"/>
    <mergeCell ref="JMF36:JMV36"/>
    <mergeCell ref="JGI36:JGY36"/>
    <mergeCell ref="JGZ36:JHP36"/>
    <mergeCell ref="JHQ36:JIG36"/>
    <mergeCell ref="JIH36:JIX36"/>
    <mergeCell ref="JIY36:JJO36"/>
    <mergeCell ref="JDB36:JDR36"/>
    <mergeCell ref="JDS36:JEI36"/>
    <mergeCell ref="JEJ36:JEZ36"/>
    <mergeCell ref="JFA36:JFQ36"/>
    <mergeCell ref="JFR36:JGH36"/>
    <mergeCell ref="IZU36:JAK36"/>
    <mergeCell ref="JAL36:JBB36"/>
    <mergeCell ref="JBC36:JBS36"/>
    <mergeCell ref="JBT36:JCJ36"/>
    <mergeCell ref="JCK36:JDA36"/>
    <mergeCell ref="IWN36:IXD36"/>
    <mergeCell ref="IXE36:IXU36"/>
    <mergeCell ref="IXV36:IYL36"/>
    <mergeCell ref="IYM36:IZC36"/>
    <mergeCell ref="IZD36:IZT36"/>
    <mergeCell ref="ITG36:ITW36"/>
    <mergeCell ref="ITX36:IUN36"/>
    <mergeCell ref="IUO36:IVE36"/>
    <mergeCell ref="IVF36:IVV36"/>
    <mergeCell ref="IVW36:IWM36"/>
    <mergeCell ref="IPZ36:IQP36"/>
    <mergeCell ref="IQQ36:IRG36"/>
    <mergeCell ref="IRH36:IRX36"/>
    <mergeCell ref="IRY36:ISO36"/>
    <mergeCell ref="ISP36:ITF36"/>
    <mergeCell ref="IMS36:INI36"/>
    <mergeCell ref="INJ36:INZ36"/>
    <mergeCell ref="IOA36:IOQ36"/>
    <mergeCell ref="IOR36:IPH36"/>
    <mergeCell ref="IPI36:IPY36"/>
    <mergeCell ref="IJL36:IKB36"/>
    <mergeCell ref="IKC36:IKS36"/>
    <mergeCell ref="IKT36:ILJ36"/>
    <mergeCell ref="ILK36:IMA36"/>
    <mergeCell ref="IMB36:IMR36"/>
    <mergeCell ref="IGE36:IGU36"/>
    <mergeCell ref="IGV36:IHL36"/>
    <mergeCell ref="IHM36:IIC36"/>
    <mergeCell ref="IID36:IIT36"/>
    <mergeCell ref="IIU36:IJK36"/>
    <mergeCell ref="ICX36:IDN36"/>
    <mergeCell ref="IDO36:IEE36"/>
    <mergeCell ref="IEF36:IEV36"/>
    <mergeCell ref="IEW36:IFM36"/>
    <mergeCell ref="IFN36:IGD36"/>
    <mergeCell ref="HZQ36:IAG36"/>
    <mergeCell ref="IAH36:IAX36"/>
    <mergeCell ref="IAY36:IBO36"/>
    <mergeCell ref="IBP36:ICF36"/>
    <mergeCell ref="ICG36:ICW36"/>
    <mergeCell ref="HWJ36:HWZ36"/>
    <mergeCell ref="HXA36:HXQ36"/>
    <mergeCell ref="HXR36:HYH36"/>
    <mergeCell ref="HYI36:HYY36"/>
    <mergeCell ref="HYZ36:HZP36"/>
    <mergeCell ref="HTC36:HTS36"/>
    <mergeCell ref="HTT36:HUJ36"/>
    <mergeCell ref="HUK36:HVA36"/>
    <mergeCell ref="HVB36:HVR36"/>
    <mergeCell ref="HVS36:HWI36"/>
    <mergeCell ref="HPV36:HQL36"/>
    <mergeCell ref="HQM36:HRC36"/>
    <mergeCell ref="HRD36:HRT36"/>
    <mergeCell ref="HRU36:HSK36"/>
    <mergeCell ref="HSL36:HTB36"/>
    <mergeCell ref="HMO36:HNE36"/>
    <mergeCell ref="HNF36:HNV36"/>
    <mergeCell ref="HNW36:HOM36"/>
    <mergeCell ref="HON36:HPD36"/>
    <mergeCell ref="HPE36:HPU36"/>
    <mergeCell ref="HJH36:HJX36"/>
    <mergeCell ref="HJY36:HKO36"/>
    <mergeCell ref="HKP36:HLF36"/>
    <mergeCell ref="HLG36:HLW36"/>
    <mergeCell ref="HLX36:HMN36"/>
    <mergeCell ref="HGA36:HGQ36"/>
    <mergeCell ref="HGR36:HHH36"/>
    <mergeCell ref="HHI36:HHY36"/>
    <mergeCell ref="HHZ36:HIP36"/>
    <mergeCell ref="HIQ36:HJG36"/>
    <mergeCell ref="HCT36:HDJ36"/>
    <mergeCell ref="HDK36:HEA36"/>
    <mergeCell ref="HEB36:HER36"/>
    <mergeCell ref="HES36:HFI36"/>
    <mergeCell ref="HFJ36:HFZ36"/>
    <mergeCell ref="GZM36:HAC36"/>
    <mergeCell ref="HAD36:HAT36"/>
    <mergeCell ref="HAU36:HBK36"/>
    <mergeCell ref="HBL36:HCB36"/>
    <mergeCell ref="HCC36:HCS36"/>
    <mergeCell ref="GWF36:GWV36"/>
    <mergeCell ref="GWW36:GXM36"/>
    <mergeCell ref="GXN36:GYD36"/>
    <mergeCell ref="GYE36:GYU36"/>
    <mergeCell ref="GYV36:GZL36"/>
    <mergeCell ref="GSY36:GTO36"/>
    <mergeCell ref="GTP36:GUF36"/>
    <mergeCell ref="GUG36:GUW36"/>
    <mergeCell ref="GUX36:GVN36"/>
    <mergeCell ref="GVO36:GWE36"/>
    <mergeCell ref="GPR36:GQH36"/>
    <mergeCell ref="GQI36:GQY36"/>
    <mergeCell ref="GQZ36:GRP36"/>
    <mergeCell ref="GRQ36:GSG36"/>
    <mergeCell ref="GSH36:GSX36"/>
    <mergeCell ref="GMK36:GNA36"/>
    <mergeCell ref="GNB36:GNR36"/>
    <mergeCell ref="GNS36:GOI36"/>
    <mergeCell ref="GOJ36:GOZ36"/>
    <mergeCell ref="GPA36:GPQ36"/>
    <mergeCell ref="GJD36:GJT36"/>
    <mergeCell ref="GJU36:GKK36"/>
    <mergeCell ref="GKL36:GLB36"/>
    <mergeCell ref="GLC36:GLS36"/>
    <mergeCell ref="GLT36:GMJ36"/>
    <mergeCell ref="GFW36:GGM36"/>
    <mergeCell ref="GGN36:GHD36"/>
    <mergeCell ref="GHE36:GHU36"/>
    <mergeCell ref="GHV36:GIL36"/>
    <mergeCell ref="GIM36:GJC36"/>
    <mergeCell ref="GCP36:GDF36"/>
    <mergeCell ref="GDG36:GDW36"/>
    <mergeCell ref="GDX36:GEN36"/>
    <mergeCell ref="GEO36:GFE36"/>
    <mergeCell ref="GFF36:GFV36"/>
    <mergeCell ref="FZI36:FZY36"/>
    <mergeCell ref="FZZ36:GAP36"/>
    <mergeCell ref="GAQ36:GBG36"/>
    <mergeCell ref="GBH36:GBX36"/>
    <mergeCell ref="GBY36:GCO36"/>
    <mergeCell ref="FWB36:FWR36"/>
    <mergeCell ref="FWS36:FXI36"/>
    <mergeCell ref="FXJ36:FXZ36"/>
    <mergeCell ref="FYA36:FYQ36"/>
    <mergeCell ref="FYR36:FZH36"/>
    <mergeCell ref="FSU36:FTK36"/>
    <mergeCell ref="FTL36:FUB36"/>
    <mergeCell ref="FUC36:FUS36"/>
    <mergeCell ref="FUT36:FVJ36"/>
    <mergeCell ref="FVK36:FWA36"/>
    <mergeCell ref="FPN36:FQD36"/>
    <mergeCell ref="FQE36:FQU36"/>
    <mergeCell ref="FQV36:FRL36"/>
    <mergeCell ref="FRM36:FSC36"/>
    <mergeCell ref="FSD36:FST36"/>
    <mergeCell ref="FMG36:FMW36"/>
    <mergeCell ref="FMX36:FNN36"/>
    <mergeCell ref="FNO36:FOE36"/>
    <mergeCell ref="FOF36:FOV36"/>
    <mergeCell ref="FOW36:FPM36"/>
    <mergeCell ref="FIZ36:FJP36"/>
    <mergeCell ref="FJQ36:FKG36"/>
    <mergeCell ref="FKH36:FKX36"/>
    <mergeCell ref="FKY36:FLO36"/>
    <mergeCell ref="FLP36:FMF36"/>
    <mergeCell ref="FFS36:FGI36"/>
    <mergeCell ref="FGJ36:FGZ36"/>
    <mergeCell ref="FHA36:FHQ36"/>
    <mergeCell ref="FHR36:FIH36"/>
    <mergeCell ref="FII36:FIY36"/>
    <mergeCell ref="FCL36:FDB36"/>
    <mergeCell ref="FDC36:FDS36"/>
    <mergeCell ref="FDT36:FEJ36"/>
    <mergeCell ref="FEK36:FFA36"/>
    <mergeCell ref="FFB36:FFR36"/>
    <mergeCell ref="EZE36:EZU36"/>
    <mergeCell ref="EZV36:FAL36"/>
    <mergeCell ref="FAM36:FBC36"/>
    <mergeCell ref="FBD36:FBT36"/>
    <mergeCell ref="FBU36:FCK36"/>
    <mergeCell ref="EVX36:EWN36"/>
    <mergeCell ref="EWO36:EXE36"/>
    <mergeCell ref="EXF36:EXV36"/>
    <mergeCell ref="EXW36:EYM36"/>
    <mergeCell ref="EYN36:EZD36"/>
    <mergeCell ref="ESQ36:ETG36"/>
    <mergeCell ref="ETH36:ETX36"/>
    <mergeCell ref="ETY36:EUO36"/>
    <mergeCell ref="EUP36:EVF36"/>
    <mergeCell ref="EVG36:EVW36"/>
    <mergeCell ref="EPJ36:EPZ36"/>
    <mergeCell ref="EQA36:EQQ36"/>
    <mergeCell ref="EQR36:ERH36"/>
    <mergeCell ref="ERI36:ERY36"/>
    <mergeCell ref="ERZ36:ESP36"/>
    <mergeCell ref="EMC36:EMS36"/>
    <mergeCell ref="EMT36:ENJ36"/>
    <mergeCell ref="ENK36:EOA36"/>
    <mergeCell ref="EOB36:EOR36"/>
    <mergeCell ref="EOS36:EPI36"/>
    <mergeCell ref="EIV36:EJL36"/>
    <mergeCell ref="EJM36:EKC36"/>
    <mergeCell ref="EKD36:EKT36"/>
    <mergeCell ref="EKU36:ELK36"/>
    <mergeCell ref="ELL36:EMB36"/>
    <mergeCell ref="EFO36:EGE36"/>
    <mergeCell ref="EGF36:EGV36"/>
    <mergeCell ref="EGW36:EHM36"/>
    <mergeCell ref="EHN36:EID36"/>
    <mergeCell ref="EIE36:EIU36"/>
    <mergeCell ref="ECH36:ECX36"/>
    <mergeCell ref="ECY36:EDO36"/>
    <mergeCell ref="EDP36:EEF36"/>
    <mergeCell ref="EEG36:EEW36"/>
    <mergeCell ref="EEX36:EFN36"/>
    <mergeCell ref="DZA36:DZQ36"/>
    <mergeCell ref="DZR36:EAH36"/>
    <mergeCell ref="EAI36:EAY36"/>
    <mergeCell ref="EAZ36:EBP36"/>
    <mergeCell ref="EBQ36:ECG36"/>
    <mergeCell ref="DVT36:DWJ36"/>
    <mergeCell ref="DWK36:DXA36"/>
    <mergeCell ref="DXB36:DXR36"/>
    <mergeCell ref="DXS36:DYI36"/>
    <mergeCell ref="DYJ36:DYZ36"/>
    <mergeCell ref="DSM36:DTC36"/>
    <mergeCell ref="DTD36:DTT36"/>
    <mergeCell ref="DTU36:DUK36"/>
    <mergeCell ref="DUL36:DVB36"/>
    <mergeCell ref="DVC36:DVS36"/>
    <mergeCell ref="DPF36:DPV36"/>
    <mergeCell ref="DPW36:DQM36"/>
    <mergeCell ref="DQN36:DRD36"/>
    <mergeCell ref="DRE36:DRU36"/>
    <mergeCell ref="DRV36:DSL36"/>
    <mergeCell ref="DLY36:DMO36"/>
    <mergeCell ref="DMP36:DNF36"/>
    <mergeCell ref="DNG36:DNW36"/>
    <mergeCell ref="DNX36:DON36"/>
    <mergeCell ref="DOO36:DPE36"/>
    <mergeCell ref="DIR36:DJH36"/>
    <mergeCell ref="DJI36:DJY36"/>
    <mergeCell ref="DJZ36:DKP36"/>
    <mergeCell ref="DKQ36:DLG36"/>
    <mergeCell ref="DLH36:DLX36"/>
    <mergeCell ref="DFK36:DGA36"/>
    <mergeCell ref="DGB36:DGR36"/>
    <mergeCell ref="DGS36:DHI36"/>
    <mergeCell ref="DHJ36:DHZ36"/>
    <mergeCell ref="DIA36:DIQ36"/>
    <mergeCell ref="DCD36:DCT36"/>
    <mergeCell ref="DCU36:DDK36"/>
    <mergeCell ref="DDL36:DEB36"/>
    <mergeCell ref="DEC36:DES36"/>
    <mergeCell ref="DET36:DFJ36"/>
    <mergeCell ref="CYW36:CZM36"/>
    <mergeCell ref="CZN36:DAD36"/>
    <mergeCell ref="DAE36:DAU36"/>
    <mergeCell ref="DAV36:DBL36"/>
    <mergeCell ref="DBM36:DCC36"/>
    <mergeCell ref="CVP36:CWF36"/>
    <mergeCell ref="CWG36:CWW36"/>
    <mergeCell ref="CWX36:CXN36"/>
    <mergeCell ref="CXO36:CYE36"/>
    <mergeCell ref="CYF36:CYV36"/>
    <mergeCell ref="CSI36:CSY36"/>
    <mergeCell ref="CSZ36:CTP36"/>
    <mergeCell ref="CTQ36:CUG36"/>
    <mergeCell ref="CUH36:CUX36"/>
    <mergeCell ref="CUY36:CVO36"/>
    <mergeCell ref="CPB36:CPR36"/>
    <mergeCell ref="CPS36:CQI36"/>
    <mergeCell ref="CQJ36:CQZ36"/>
    <mergeCell ref="CRA36:CRQ36"/>
    <mergeCell ref="CRR36:CSH36"/>
    <mergeCell ref="CLU36:CMK36"/>
    <mergeCell ref="CML36:CNB36"/>
    <mergeCell ref="CNC36:CNS36"/>
    <mergeCell ref="CNT36:COJ36"/>
    <mergeCell ref="COK36:CPA36"/>
    <mergeCell ref="CIN36:CJD36"/>
    <mergeCell ref="CJE36:CJU36"/>
    <mergeCell ref="CJV36:CKL36"/>
    <mergeCell ref="CKM36:CLC36"/>
    <mergeCell ref="CLD36:CLT36"/>
    <mergeCell ref="CFG36:CFW36"/>
    <mergeCell ref="CFX36:CGN36"/>
    <mergeCell ref="CGO36:CHE36"/>
    <mergeCell ref="CHF36:CHV36"/>
    <mergeCell ref="CHW36:CIM36"/>
    <mergeCell ref="CBZ36:CCP36"/>
    <mergeCell ref="CCQ36:CDG36"/>
    <mergeCell ref="CDH36:CDX36"/>
    <mergeCell ref="CDY36:CEO36"/>
    <mergeCell ref="CEP36:CFF36"/>
    <mergeCell ref="BYS36:BZI36"/>
    <mergeCell ref="BZJ36:BZZ36"/>
    <mergeCell ref="CAA36:CAQ36"/>
    <mergeCell ref="CAR36:CBH36"/>
    <mergeCell ref="CBI36:CBY36"/>
    <mergeCell ref="BVL36:BWB36"/>
    <mergeCell ref="BWC36:BWS36"/>
    <mergeCell ref="BWT36:BXJ36"/>
    <mergeCell ref="BXK36:BYA36"/>
    <mergeCell ref="BYB36:BYR36"/>
    <mergeCell ref="BSE36:BSU36"/>
    <mergeCell ref="BSV36:BTL36"/>
    <mergeCell ref="BTM36:BUC36"/>
    <mergeCell ref="BUD36:BUT36"/>
    <mergeCell ref="BUU36:BVK36"/>
    <mergeCell ref="BOX36:BPN36"/>
    <mergeCell ref="BPO36:BQE36"/>
    <mergeCell ref="BQF36:BQV36"/>
    <mergeCell ref="BQW36:BRM36"/>
    <mergeCell ref="BRN36:BSD36"/>
    <mergeCell ref="BLQ36:BMG36"/>
    <mergeCell ref="BMH36:BMX36"/>
    <mergeCell ref="BMY36:BNO36"/>
    <mergeCell ref="BNP36:BOF36"/>
    <mergeCell ref="BOG36:BOW36"/>
    <mergeCell ref="BIJ36:BIZ36"/>
    <mergeCell ref="BJA36:BJQ36"/>
    <mergeCell ref="BJR36:BKH36"/>
    <mergeCell ref="BKI36:BKY36"/>
    <mergeCell ref="BKZ36:BLP36"/>
    <mergeCell ref="BFC36:BFS36"/>
    <mergeCell ref="BFT36:BGJ36"/>
    <mergeCell ref="BGK36:BHA36"/>
    <mergeCell ref="BHB36:BHR36"/>
    <mergeCell ref="BHS36:BII36"/>
    <mergeCell ref="BBV36:BCL36"/>
    <mergeCell ref="BCM36:BDC36"/>
    <mergeCell ref="BDD36:BDT36"/>
    <mergeCell ref="BDU36:BEK36"/>
    <mergeCell ref="BEL36:BFB36"/>
    <mergeCell ref="AYO36:AZE36"/>
    <mergeCell ref="AZF36:AZV36"/>
    <mergeCell ref="AZW36:BAM36"/>
    <mergeCell ref="BAN36:BBD36"/>
    <mergeCell ref="BBE36:BBU36"/>
    <mergeCell ref="AVH36:AVX36"/>
    <mergeCell ref="AVY36:AWO36"/>
    <mergeCell ref="AWP36:AXF36"/>
    <mergeCell ref="AXG36:AXW36"/>
    <mergeCell ref="AXX36:AYN36"/>
    <mergeCell ref="ASA36:ASQ36"/>
    <mergeCell ref="ASR36:ATH36"/>
    <mergeCell ref="ATI36:ATY36"/>
    <mergeCell ref="ATZ36:AUP36"/>
    <mergeCell ref="AUQ36:AVG36"/>
    <mergeCell ref="AOT36:APJ36"/>
    <mergeCell ref="APK36:AQA36"/>
    <mergeCell ref="AQB36:AQR36"/>
    <mergeCell ref="AQS36:ARI36"/>
    <mergeCell ref="ARJ36:ARZ36"/>
    <mergeCell ref="ALM36:AMC36"/>
    <mergeCell ref="AMD36:AMT36"/>
    <mergeCell ref="AMU36:ANK36"/>
    <mergeCell ref="ANL36:AOB36"/>
    <mergeCell ref="AOC36:AOS36"/>
    <mergeCell ref="AIF36:AIV36"/>
    <mergeCell ref="AIW36:AJM36"/>
    <mergeCell ref="AJN36:AKD36"/>
    <mergeCell ref="AKE36:AKU36"/>
    <mergeCell ref="AKV36:ALL36"/>
    <mergeCell ref="AEY36:AFO36"/>
    <mergeCell ref="AFP36:AGF36"/>
    <mergeCell ref="AGG36:AGW36"/>
    <mergeCell ref="AGX36:AHN36"/>
    <mergeCell ref="AHO36:AIE36"/>
    <mergeCell ref="ABR36:ACH36"/>
    <mergeCell ref="ACI36:ACY36"/>
    <mergeCell ref="ACZ36:ADP36"/>
    <mergeCell ref="ADQ36:AEG36"/>
    <mergeCell ref="AEH36:AEX36"/>
    <mergeCell ref="ZB36:ZR36"/>
    <mergeCell ref="ZS36:AAI36"/>
    <mergeCell ref="AAJ36:AAZ36"/>
    <mergeCell ref="ABA36:ABQ36"/>
    <mergeCell ref="VD36:VT36"/>
    <mergeCell ref="VU36:WK36"/>
    <mergeCell ref="WL36:XB36"/>
    <mergeCell ref="XC36:XS36"/>
    <mergeCell ref="XT36:YJ36"/>
    <mergeCell ref="RW36:SM36"/>
    <mergeCell ref="SN36:TD36"/>
    <mergeCell ref="TE36:TU36"/>
    <mergeCell ref="TV36:UL36"/>
    <mergeCell ref="UM36:VC36"/>
    <mergeCell ref="OP36:PF36"/>
    <mergeCell ref="PG36:PW36"/>
    <mergeCell ref="PX36:QN36"/>
    <mergeCell ref="QO36:RE36"/>
    <mergeCell ref="RF36:RV36"/>
    <mergeCell ref="LI36:LY36"/>
    <mergeCell ref="LZ36:MP36"/>
    <mergeCell ref="MQ36:NG36"/>
    <mergeCell ref="NH36:NX36"/>
    <mergeCell ref="NY36:OO36"/>
    <mergeCell ref="IB36:IR36"/>
    <mergeCell ref="IS36:JI36"/>
    <mergeCell ref="JJ36:JZ36"/>
    <mergeCell ref="KA36:KQ36"/>
    <mergeCell ref="KR36:LH36"/>
    <mergeCell ref="XDX35:XEN35"/>
    <mergeCell ref="XEO35:XFA35"/>
    <mergeCell ref="S36:AG36"/>
    <mergeCell ref="AX36:BM36"/>
    <mergeCell ref="BN36:CD36"/>
    <mergeCell ref="CE36:CU36"/>
    <mergeCell ref="CV36:DL36"/>
    <mergeCell ref="DM36:EC36"/>
    <mergeCell ref="ED36:ET36"/>
    <mergeCell ref="EU36:FK36"/>
    <mergeCell ref="FL36:GB36"/>
    <mergeCell ref="GC36:GS36"/>
    <mergeCell ref="GT36:HJ36"/>
    <mergeCell ref="HK36:IA36"/>
    <mergeCell ref="XAQ35:XBG35"/>
    <mergeCell ref="XBH35:XBX35"/>
    <mergeCell ref="XBY35:XCO35"/>
    <mergeCell ref="XCP35:XDF35"/>
    <mergeCell ref="XDG35:XDW35"/>
    <mergeCell ref="WXJ35:WXZ35"/>
    <mergeCell ref="WYA35:WYQ35"/>
    <mergeCell ref="YK36:ZA36"/>
    <mergeCell ref="WYR35:WZH35"/>
    <mergeCell ref="WZI35:WZY35"/>
    <mergeCell ref="WZZ35:XAP35"/>
    <mergeCell ref="WUC35:WUS35"/>
    <mergeCell ref="WUT35:WVJ35"/>
    <mergeCell ref="WVK35:WWA35"/>
    <mergeCell ref="WWB35:WWR35"/>
    <mergeCell ref="WWS35:WXI35"/>
    <mergeCell ref="WQV35:WRL35"/>
    <mergeCell ref="WRM35:WSC35"/>
    <mergeCell ref="WSD35:WST35"/>
    <mergeCell ref="WSU35:WTK35"/>
    <mergeCell ref="WTL35:WUB35"/>
    <mergeCell ref="WNO35:WOE35"/>
    <mergeCell ref="WOF35:WOV35"/>
    <mergeCell ref="WOW35:WPM35"/>
    <mergeCell ref="WPN35:WQD35"/>
    <mergeCell ref="WQE35:WQU35"/>
    <mergeCell ref="WKH35:WKX35"/>
    <mergeCell ref="WKY35:WLO35"/>
    <mergeCell ref="WLP35:WMF35"/>
    <mergeCell ref="WMG35:WMW35"/>
    <mergeCell ref="WMX35:WNN35"/>
    <mergeCell ref="WHA35:WHQ35"/>
    <mergeCell ref="WHR35:WIH35"/>
    <mergeCell ref="WII35:WIY35"/>
    <mergeCell ref="WIZ35:WJP35"/>
    <mergeCell ref="WJQ35:WKG35"/>
    <mergeCell ref="WDT35:WEJ35"/>
    <mergeCell ref="WEK35:WFA35"/>
    <mergeCell ref="WFB35:WFR35"/>
    <mergeCell ref="WFS35:WGI35"/>
    <mergeCell ref="WGJ35:WGZ35"/>
    <mergeCell ref="WAM35:WBC35"/>
    <mergeCell ref="WBD35:WBT35"/>
    <mergeCell ref="WBU35:WCK35"/>
    <mergeCell ref="WCL35:WDB35"/>
    <mergeCell ref="WDC35:WDS35"/>
    <mergeCell ref="VXF35:VXV35"/>
    <mergeCell ref="VXW35:VYM35"/>
    <mergeCell ref="VYN35:VZD35"/>
    <mergeCell ref="VZE35:VZU35"/>
    <mergeCell ref="VZV35:WAL35"/>
    <mergeCell ref="VTY35:VUO35"/>
    <mergeCell ref="VUP35:VVF35"/>
    <mergeCell ref="VVG35:VVW35"/>
    <mergeCell ref="VVX35:VWN35"/>
    <mergeCell ref="VWO35:VXE35"/>
    <mergeCell ref="VQR35:VRH35"/>
    <mergeCell ref="VRI35:VRY35"/>
    <mergeCell ref="VRZ35:VSP35"/>
    <mergeCell ref="VSQ35:VTG35"/>
    <mergeCell ref="VTH35:VTX35"/>
    <mergeCell ref="VNK35:VOA35"/>
    <mergeCell ref="VOB35:VOR35"/>
    <mergeCell ref="VOS35:VPI35"/>
    <mergeCell ref="VPJ35:VPZ35"/>
    <mergeCell ref="VQA35:VQQ35"/>
    <mergeCell ref="VKD35:VKT35"/>
    <mergeCell ref="VKU35:VLK35"/>
    <mergeCell ref="VLL35:VMB35"/>
    <mergeCell ref="VMC35:VMS35"/>
    <mergeCell ref="VMT35:VNJ35"/>
    <mergeCell ref="VGW35:VHM35"/>
    <mergeCell ref="VHN35:VID35"/>
    <mergeCell ref="VIE35:VIU35"/>
    <mergeCell ref="VIV35:VJL35"/>
    <mergeCell ref="VJM35:VKC35"/>
    <mergeCell ref="VDP35:VEF35"/>
    <mergeCell ref="VEG35:VEW35"/>
    <mergeCell ref="VEX35:VFN35"/>
    <mergeCell ref="VFO35:VGE35"/>
    <mergeCell ref="VGF35:VGV35"/>
    <mergeCell ref="VAI35:VAY35"/>
    <mergeCell ref="VAZ35:VBP35"/>
    <mergeCell ref="VBQ35:VCG35"/>
    <mergeCell ref="VCH35:VCX35"/>
    <mergeCell ref="VCY35:VDO35"/>
    <mergeCell ref="UXB35:UXR35"/>
    <mergeCell ref="UXS35:UYI35"/>
    <mergeCell ref="UYJ35:UYZ35"/>
    <mergeCell ref="UZA35:UZQ35"/>
    <mergeCell ref="UZR35:VAH35"/>
    <mergeCell ref="UTU35:UUK35"/>
    <mergeCell ref="UUL35:UVB35"/>
    <mergeCell ref="UVC35:UVS35"/>
    <mergeCell ref="UVT35:UWJ35"/>
    <mergeCell ref="UWK35:UXA35"/>
    <mergeCell ref="UQN35:URD35"/>
    <mergeCell ref="URE35:URU35"/>
    <mergeCell ref="URV35:USL35"/>
    <mergeCell ref="USM35:UTC35"/>
    <mergeCell ref="UTD35:UTT35"/>
    <mergeCell ref="UNG35:UNW35"/>
    <mergeCell ref="UNX35:UON35"/>
    <mergeCell ref="UOO35:UPE35"/>
    <mergeCell ref="UPF35:UPV35"/>
    <mergeCell ref="UPW35:UQM35"/>
    <mergeCell ref="UJZ35:UKP35"/>
    <mergeCell ref="UKQ35:ULG35"/>
    <mergeCell ref="ULH35:ULX35"/>
    <mergeCell ref="ULY35:UMO35"/>
    <mergeCell ref="UMP35:UNF35"/>
    <mergeCell ref="UGS35:UHI35"/>
    <mergeCell ref="UHJ35:UHZ35"/>
    <mergeCell ref="UIA35:UIQ35"/>
    <mergeCell ref="UIR35:UJH35"/>
    <mergeCell ref="UJI35:UJY35"/>
    <mergeCell ref="UDL35:UEB35"/>
    <mergeCell ref="UEC35:UES35"/>
    <mergeCell ref="UET35:UFJ35"/>
    <mergeCell ref="UFK35:UGA35"/>
    <mergeCell ref="UGB35:UGR35"/>
    <mergeCell ref="UAE35:UAU35"/>
    <mergeCell ref="UAV35:UBL35"/>
    <mergeCell ref="UBM35:UCC35"/>
    <mergeCell ref="UCD35:UCT35"/>
    <mergeCell ref="UCU35:UDK35"/>
    <mergeCell ref="TWX35:TXN35"/>
    <mergeCell ref="TXO35:TYE35"/>
    <mergeCell ref="TYF35:TYV35"/>
    <mergeCell ref="TYW35:TZM35"/>
    <mergeCell ref="TZN35:UAD35"/>
    <mergeCell ref="TTQ35:TUG35"/>
    <mergeCell ref="TUH35:TUX35"/>
    <mergeCell ref="TUY35:TVO35"/>
    <mergeCell ref="TVP35:TWF35"/>
    <mergeCell ref="TWG35:TWW35"/>
    <mergeCell ref="TQJ35:TQZ35"/>
    <mergeCell ref="TRA35:TRQ35"/>
    <mergeCell ref="TRR35:TSH35"/>
    <mergeCell ref="TSI35:TSY35"/>
    <mergeCell ref="TSZ35:TTP35"/>
    <mergeCell ref="TNC35:TNS35"/>
    <mergeCell ref="TNT35:TOJ35"/>
    <mergeCell ref="TOK35:TPA35"/>
    <mergeCell ref="TPB35:TPR35"/>
    <mergeCell ref="TPS35:TQI35"/>
    <mergeCell ref="TJV35:TKL35"/>
    <mergeCell ref="TKM35:TLC35"/>
    <mergeCell ref="TLD35:TLT35"/>
    <mergeCell ref="TLU35:TMK35"/>
    <mergeCell ref="TML35:TNB35"/>
    <mergeCell ref="TGO35:THE35"/>
    <mergeCell ref="THF35:THV35"/>
    <mergeCell ref="THW35:TIM35"/>
    <mergeCell ref="TIN35:TJD35"/>
    <mergeCell ref="TJE35:TJU35"/>
    <mergeCell ref="TDH35:TDX35"/>
    <mergeCell ref="TDY35:TEO35"/>
    <mergeCell ref="TEP35:TFF35"/>
    <mergeCell ref="TFG35:TFW35"/>
    <mergeCell ref="TFX35:TGN35"/>
    <mergeCell ref="TAA35:TAQ35"/>
    <mergeCell ref="TAR35:TBH35"/>
    <mergeCell ref="TBI35:TBY35"/>
    <mergeCell ref="TBZ35:TCP35"/>
    <mergeCell ref="TCQ35:TDG35"/>
    <mergeCell ref="SWT35:SXJ35"/>
    <mergeCell ref="SXK35:SYA35"/>
    <mergeCell ref="SYB35:SYR35"/>
    <mergeCell ref="SYS35:SZI35"/>
    <mergeCell ref="SZJ35:SZZ35"/>
    <mergeCell ref="STM35:SUC35"/>
    <mergeCell ref="SUD35:SUT35"/>
    <mergeCell ref="SUU35:SVK35"/>
    <mergeCell ref="SVL35:SWB35"/>
    <mergeCell ref="SWC35:SWS35"/>
    <mergeCell ref="SQF35:SQV35"/>
    <mergeCell ref="SQW35:SRM35"/>
    <mergeCell ref="SRN35:SSD35"/>
    <mergeCell ref="SSE35:SSU35"/>
    <mergeCell ref="SSV35:STL35"/>
    <mergeCell ref="SMY35:SNO35"/>
    <mergeCell ref="SNP35:SOF35"/>
    <mergeCell ref="SOG35:SOW35"/>
    <mergeCell ref="SOX35:SPN35"/>
    <mergeCell ref="SPO35:SQE35"/>
    <mergeCell ref="SJR35:SKH35"/>
    <mergeCell ref="SKI35:SKY35"/>
    <mergeCell ref="SKZ35:SLP35"/>
    <mergeCell ref="SLQ35:SMG35"/>
    <mergeCell ref="SMH35:SMX35"/>
    <mergeCell ref="SGK35:SHA35"/>
    <mergeCell ref="SHB35:SHR35"/>
    <mergeCell ref="SHS35:SII35"/>
    <mergeCell ref="SIJ35:SIZ35"/>
    <mergeCell ref="SJA35:SJQ35"/>
    <mergeCell ref="SDD35:SDT35"/>
    <mergeCell ref="SDU35:SEK35"/>
    <mergeCell ref="SEL35:SFB35"/>
    <mergeCell ref="SFC35:SFS35"/>
    <mergeCell ref="SFT35:SGJ35"/>
    <mergeCell ref="RZW35:SAM35"/>
    <mergeCell ref="SAN35:SBD35"/>
    <mergeCell ref="SBE35:SBU35"/>
    <mergeCell ref="SBV35:SCL35"/>
    <mergeCell ref="SCM35:SDC35"/>
    <mergeCell ref="RWP35:RXF35"/>
    <mergeCell ref="RXG35:RXW35"/>
    <mergeCell ref="RXX35:RYN35"/>
    <mergeCell ref="RYO35:RZE35"/>
    <mergeCell ref="RZF35:RZV35"/>
    <mergeCell ref="RTI35:RTY35"/>
    <mergeCell ref="RTZ35:RUP35"/>
    <mergeCell ref="RUQ35:RVG35"/>
    <mergeCell ref="RVH35:RVX35"/>
    <mergeCell ref="RVY35:RWO35"/>
    <mergeCell ref="RQB35:RQR35"/>
    <mergeCell ref="RQS35:RRI35"/>
    <mergeCell ref="RRJ35:RRZ35"/>
    <mergeCell ref="RSA35:RSQ35"/>
    <mergeCell ref="RSR35:RTH35"/>
    <mergeCell ref="RMU35:RNK35"/>
    <mergeCell ref="RNL35:ROB35"/>
    <mergeCell ref="ROC35:ROS35"/>
    <mergeCell ref="ROT35:RPJ35"/>
    <mergeCell ref="RPK35:RQA35"/>
    <mergeCell ref="RJN35:RKD35"/>
    <mergeCell ref="RKE35:RKU35"/>
    <mergeCell ref="RKV35:RLL35"/>
    <mergeCell ref="RLM35:RMC35"/>
    <mergeCell ref="RMD35:RMT35"/>
    <mergeCell ref="RGG35:RGW35"/>
    <mergeCell ref="RGX35:RHN35"/>
    <mergeCell ref="RHO35:RIE35"/>
    <mergeCell ref="RIF35:RIV35"/>
    <mergeCell ref="RIW35:RJM35"/>
    <mergeCell ref="RCZ35:RDP35"/>
    <mergeCell ref="RDQ35:REG35"/>
    <mergeCell ref="REH35:REX35"/>
    <mergeCell ref="REY35:RFO35"/>
    <mergeCell ref="RFP35:RGF35"/>
    <mergeCell ref="QZS35:RAI35"/>
    <mergeCell ref="RAJ35:RAZ35"/>
    <mergeCell ref="RBA35:RBQ35"/>
    <mergeCell ref="RBR35:RCH35"/>
    <mergeCell ref="RCI35:RCY35"/>
    <mergeCell ref="QWL35:QXB35"/>
    <mergeCell ref="QXC35:QXS35"/>
    <mergeCell ref="QXT35:QYJ35"/>
    <mergeCell ref="QYK35:QZA35"/>
    <mergeCell ref="QZB35:QZR35"/>
    <mergeCell ref="QTE35:QTU35"/>
    <mergeCell ref="QTV35:QUL35"/>
    <mergeCell ref="QUM35:QVC35"/>
    <mergeCell ref="QVD35:QVT35"/>
    <mergeCell ref="QVU35:QWK35"/>
    <mergeCell ref="QPX35:QQN35"/>
    <mergeCell ref="QQO35:QRE35"/>
    <mergeCell ref="QRF35:QRV35"/>
    <mergeCell ref="QRW35:QSM35"/>
    <mergeCell ref="QSN35:QTD35"/>
    <mergeCell ref="QMQ35:QNG35"/>
    <mergeCell ref="QNH35:QNX35"/>
    <mergeCell ref="QNY35:QOO35"/>
    <mergeCell ref="QOP35:QPF35"/>
    <mergeCell ref="QPG35:QPW35"/>
    <mergeCell ref="QJJ35:QJZ35"/>
    <mergeCell ref="QKA35:QKQ35"/>
    <mergeCell ref="QKR35:QLH35"/>
    <mergeCell ref="QLI35:QLY35"/>
    <mergeCell ref="QLZ35:QMP35"/>
    <mergeCell ref="QGC35:QGS35"/>
    <mergeCell ref="QGT35:QHJ35"/>
    <mergeCell ref="QHK35:QIA35"/>
    <mergeCell ref="QIB35:QIR35"/>
    <mergeCell ref="QIS35:QJI35"/>
    <mergeCell ref="QCV35:QDL35"/>
    <mergeCell ref="QDM35:QEC35"/>
    <mergeCell ref="QED35:QET35"/>
    <mergeCell ref="QEU35:QFK35"/>
    <mergeCell ref="QFL35:QGB35"/>
    <mergeCell ref="PZO35:QAE35"/>
    <mergeCell ref="QAF35:QAV35"/>
    <mergeCell ref="QAW35:QBM35"/>
    <mergeCell ref="QBN35:QCD35"/>
    <mergeCell ref="QCE35:QCU35"/>
    <mergeCell ref="PWH35:PWX35"/>
    <mergeCell ref="PWY35:PXO35"/>
    <mergeCell ref="PXP35:PYF35"/>
    <mergeCell ref="PYG35:PYW35"/>
    <mergeCell ref="PYX35:PZN35"/>
    <mergeCell ref="PTA35:PTQ35"/>
    <mergeCell ref="PTR35:PUH35"/>
    <mergeCell ref="PUI35:PUY35"/>
    <mergeCell ref="PUZ35:PVP35"/>
    <mergeCell ref="PVQ35:PWG35"/>
    <mergeCell ref="PPT35:PQJ35"/>
    <mergeCell ref="PQK35:PRA35"/>
    <mergeCell ref="PRB35:PRR35"/>
    <mergeCell ref="PRS35:PSI35"/>
    <mergeCell ref="PSJ35:PSZ35"/>
    <mergeCell ref="PMM35:PNC35"/>
    <mergeCell ref="PND35:PNT35"/>
    <mergeCell ref="PNU35:POK35"/>
    <mergeCell ref="POL35:PPB35"/>
    <mergeCell ref="PPC35:PPS35"/>
    <mergeCell ref="PJF35:PJV35"/>
    <mergeCell ref="PJW35:PKM35"/>
    <mergeCell ref="PKN35:PLD35"/>
    <mergeCell ref="PLE35:PLU35"/>
    <mergeCell ref="PLV35:PML35"/>
    <mergeCell ref="PFY35:PGO35"/>
    <mergeCell ref="PGP35:PHF35"/>
    <mergeCell ref="PHG35:PHW35"/>
    <mergeCell ref="PHX35:PIN35"/>
    <mergeCell ref="PIO35:PJE35"/>
    <mergeCell ref="PCR35:PDH35"/>
    <mergeCell ref="PDI35:PDY35"/>
    <mergeCell ref="PDZ35:PEP35"/>
    <mergeCell ref="PEQ35:PFG35"/>
    <mergeCell ref="PFH35:PFX35"/>
    <mergeCell ref="OZK35:PAA35"/>
    <mergeCell ref="PAB35:PAR35"/>
    <mergeCell ref="PAS35:PBI35"/>
    <mergeCell ref="PBJ35:PBZ35"/>
    <mergeCell ref="PCA35:PCQ35"/>
    <mergeCell ref="OWD35:OWT35"/>
    <mergeCell ref="OWU35:OXK35"/>
    <mergeCell ref="OXL35:OYB35"/>
    <mergeCell ref="OYC35:OYS35"/>
    <mergeCell ref="OYT35:OZJ35"/>
    <mergeCell ref="OSW35:OTM35"/>
    <mergeCell ref="OTN35:OUD35"/>
    <mergeCell ref="OUE35:OUU35"/>
    <mergeCell ref="OUV35:OVL35"/>
    <mergeCell ref="OVM35:OWC35"/>
    <mergeCell ref="OPP35:OQF35"/>
    <mergeCell ref="OQG35:OQW35"/>
    <mergeCell ref="OQX35:ORN35"/>
    <mergeCell ref="ORO35:OSE35"/>
    <mergeCell ref="OSF35:OSV35"/>
    <mergeCell ref="OMI35:OMY35"/>
    <mergeCell ref="OMZ35:ONP35"/>
    <mergeCell ref="ONQ35:OOG35"/>
    <mergeCell ref="OOH35:OOX35"/>
    <mergeCell ref="OOY35:OPO35"/>
    <mergeCell ref="OJB35:OJR35"/>
    <mergeCell ref="OJS35:OKI35"/>
    <mergeCell ref="OKJ35:OKZ35"/>
    <mergeCell ref="OLA35:OLQ35"/>
    <mergeCell ref="OLR35:OMH35"/>
    <mergeCell ref="OFU35:OGK35"/>
    <mergeCell ref="OGL35:OHB35"/>
    <mergeCell ref="OHC35:OHS35"/>
    <mergeCell ref="OHT35:OIJ35"/>
    <mergeCell ref="OIK35:OJA35"/>
    <mergeCell ref="OCN35:ODD35"/>
    <mergeCell ref="ODE35:ODU35"/>
    <mergeCell ref="ODV35:OEL35"/>
    <mergeCell ref="OEM35:OFC35"/>
    <mergeCell ref="OFD35:OFT35"/>
    <mergeCell ref="NZG35:NZW35"/>
    <mergeCell ref="NZX35:OAN35"/>
    <mergeCell ref="OAO35:OBE35"/>
    <mergeCell ref="OBF35:OBV35"/>
    <mergeCell ref="OBW35:OCM35"/>
    <mergeCell ref="NVZ35:NWP35"/>
    <mergeCell ref="NWQ35:NXG35"/>
    <mergeCell ref="NXH35:NXX35"/>
    <mergeCell ref="NXY35:NYO35"/>
    <mergeCell ref="NYP35:NZF35"/>
    <mergeCell ref="NSS35:NTI35"/>
    <mergeCell ref="NTJ35:NTZ35"/>
    <mergeCell ref="NUA35:NUQ35"/>
    <mergeCell ref="NUR35:NVH35"/>
    <mergeCell ref="NVI35:NVY35"/>
    <mergeCell ref="NPL35:NQB35"/>
    <mergeCell ref="NQC35:NQS35"/>
    <mergeCell ref="NQT35:NRJ35"/>
    <mergeCell ref="NRK35:NSA35"/>
    <mergeCell ref="NSB35:NSR35"/>
    <mergeCell ref="NME35:NMU35"/>
    <mergeCell ref="NMV35:NNL35"/>
    <mergeCell ref="NNM35:NOC35"/>
    <mergeCell ref="NOD35:NOT35"/>
    <mergeCell ref="NOU35:NPK35"/>
    <mergeCell ref="NIX35:NJN35"/>
    <mergeCell ref="NJO35:NKE35"/>
    <mergeCell ref="NKF35:NKV35"/>
    <mergeCell ref="NKW35:NLM35"/>
    <mergeCell ref="NLN35:NMD35"/>
    <mergeCell ref="NFQ35:NGG35"/>
    <mergeCell ref="NGH35:NGX35"/>
    <mergeCell ref="NGY35:NHO35"/>
    <mergeCell ref="NHP35:NIF35"/>
    <mergeCell ref="NIG35:NIW35"/>
    <mergeCell ref="NCJ35:NCZ35"/>
    <mergeCell ref="NDA35:NDQ35"/>
    <mergeCell ref="NDR35:NEH35"/>
    <mergeCell ref="NEI35:NEY35"/>
    <mergeCell ref="NEZ35:NFP35"/>
    <mergeCell ref="MZC35:MZS35"/>
    <mergeCell ref="MZT35:NAJ35"/>
    <mergeCell ref="NAK35:NBA35"/>
    <mergeCell ref="NBB35:NBR35"/>
    <mergeCell ref="NBS35:NCI35"/>
    <mergeCell ref="MVV35:MWL35"/>
    <mergeCell ref="MWM35:MXC35"/>
    <mergeCell ref="MXD35:MXT35"/>
    <mergeCell ref="MXU35:MYK35"/>
    <mergeCell ref="MYL35:MZB35"/>
    <mergeCell ref="MSO35:MTE35"/>
    <mergeCell ref="MTF35:MTV35"/>
    <mergeCell ref="MTW35:MUM35"/>
    <mergeCell ref="MUN35:MVD35"/>
    <mergeCell ref="MVE35:MVU35"/>
    <mergeCell ref="MPH35:MPX35"/>
    <mergeCell ref="MPY35:MQO35"/>
    <mergeCell ref="MQP35:MRF35"/>
    <mergeCell ref="MRG35:MRW35"/>
    <mergeCell ref="MRX35:MSN35"/>
    <mergeCell ref="MMA35:MMQ35"/>
    <mergeCell ref="MMR35:MNH35"/>
    <mergeCell ref="MNI35:MNY35"/>
    <mergeCell ref="MNZ35:MOP35"/>
    <mergeCell ref="MOQ35:MPG35"/>
    <mergeCell ref="MIT35:MJJ35"/>
    <mergeCell ref="MJK35:MKA35"/>
    <mergeCell ref="MKB35:MKR35"/>
    <mergeCell ref="MKS35:MLI35"/>
    <mergeCell ref="MLJ35:MLZ35"/>
    <mergeCell ref="MFM35:MGC35"/>
    <mergeCell ref="MGD35:MGT35"/>
    <mergeCell ref="MGU35:MHK35"/>
    <mergeCell ref="MHL35:MIB35"/>
    <mergeCell ref="MIC35:MIS35"/>
    <mergeCell ref="MCF35:MCV35"/>
    <mergeCell ref="MCW35:MDM35"/>
    <mergeCell ref="MDN35:MED35"/>
    <mergeCell ref="MEE35:MEU35"/>
    <mergeCell ref="MEV35:MFL35"/>
    <mergeCell ref="LYY35:LZO35"/>
    <mergeCell ref="LZP35:MAF35"/>
    <mergeCell ref="MAG35:MAW35"/>
    <mergeCell ref="MAX35:MBN35"/>
    <mergeCell ref="MBO35:MCE35"/>
    <mergeCell ref="LVR35:LWH35"/>
    <mergeCell ref="LWI35:LWY35"/>
    <mergeCell ref="LWZ35:LXP35"/>
    <mergeCell ref="LXQ35:LYG35"/>
    <mergeCell ref="LYH35:LYX35"/>
    <mergeCell ref="LSK35:LTA35"/>
    <mergeCell ref="LTB35:LTR35"/>
    <mergeCell ref="LTS35:LUI35"/>
    <mergeCell ref="LUJ35:LUZ35"/>
    <mergeCell ref="LVA35:LVQ35"/>
    <mergeCell ref="LPD35:LPT35"/>
    <mergeCell ref="LPU35:LQK35"/>
    <mergeCell ref="LQL35:LRB35"/>
    <mergeCell ref="LRC35:LRS35"/>
    <mergeCell ref="LRT35:LSJ35"/>
    <mergeCell ref="LLW35:LMM35"/>
    <mergeCell ref="LMN35:LND35"/>
    <mergeCell ref="LNE35:LNU35"/>
    <mergeCell ref="LNV35:LOL35"/>
    <mergeCell ref="LOM35:LPC35"/>
    <mergeCell ref="LIP35:LJF35"/>
    <mergeCell ref="LJG35:LJW35"/>
    <mergeCell ref="LJX35:LKN35"/>
    <mergeCell ref="LKO35:LLE35"/>
    <mergeCell ref="LLF35:LLV35"/>
    <mergeCell ref="LFI35:LFY35"/>
    <mergeCell ref="LFZ35:LGP35"/>
    <mergeCell ref="LGQ35:LHG35"/>
    <mergeCell ref="LHH35:LHX35"/>
    <mergeCell ref="LHY35:LIO35"/>
    <mergeCell ref="LCB35:LCR35"/>
    <mergeCell ref="LCS35:LDI35"/>
    <mergeCell ref="LDJ35:LDZ35"/>
    <mergeCell ref="LEA35:LEQ35"/>
    <mergeCell ref="LER35:LFH35"/>
    <mergeCell ref="KYU35:KZK35"/>
    <mergeCell ref="KZL35:LAB35"/>
    <mergeCell ref="LAC35:LAS35"/>
    <mergeCell ref="LAT35:LBJ35"/>
    <mergeCell ref="LBK35:LCA35"/>
    <mergeCell ref="KVN35:KWD35"/>
    <mergeCell ref="KWE35:KWU35"/>
    <mergeCell ref="KWV35:KXL35"/>
    <mergeCell ref="KXM35:KYC35"/>
    <mergeCell ref="KYD35:KYT35"/>
    <mergeCell ref="KSG35:KSW35"/>
    <mergeCell ref="KSX35:KTN35"/>
    <mergeCell ref="KTO35:KUE35"/>
    <mergeCell ref="KUF35:KUV35"/>
    <mergeCell ref="KUW35:KVM35"/>
    <mergeCell ref="KOZ35:KPP35"/>
    <mergeCell ref="KPQ35:KQG35"/>
    <mergeCell ref="KQH35:KQX35"/>
    <mergeCell ref="KQY35:KRO35"/>
    <mergeCell ref="KRP35:KSF35"/>
    <mergeCell ref="KLS35:KMI35"/>
    <mergeCell ref="KMJ35:KMZ35"/>
    <mergeCell ref="KNA35:KNQ35"/>
    <mergeCell ref="KNR35:KOH35"/>
    <mergeCell ref="KOI35:KOY35"/>
    <mergeCell ref="KIL35:KJB35"/>
    <mergeCell ref="KJC35:KJS35"/>
    <mergeCell ref="KJT35:KKJ35"/>
    <mergeCell ref="KKK35:KLA35"/>
    <mergeCell ref="KLB35:KLR35"/>
    <mergeCell ref="KFE35:KFU35"/>
    <mergeCell ref="KFV35:KGL35"/>
    <mergeCell ref="KGM35:KHC35"/>
    <mergeCell ref="KHD35:KHT35"/>
    <mergeCell ref="KHU35:KIK35"/>
    <mergeCell ref="KBX35:KCN35"/>
    <mergeCell ref="KCO35:KDE35"/>
    <mergeCell ref="KDF35:KDV35"/>
    <mergeCell ref="KDW35:KEM35"/>
    <mergeCell ref="KEN35:KFD35"/>
    <mergeCell ref="JYQ35:JZG35"/>
    <mergeCell ref="JZH35:JZX35"/>
    <mergeCell ref="JZY35:KAO35"/>
    <mergeCell ref="KAP35:KBF35"/>
    <mergeCell ref="KBG35:KBW35"/>
    <mergeCell ref="JVJ35:JVZ35"/>
    <mergeCell ref="JWA35:JWQ35"/>
    <mergeCell ref="JWR35:JXH35"/>
    <mergeCell ref="JXI35:JXY35"/>
    <mergeCell ref="JXZ35:JYP35"/>
    <mergeCell ref="JSC35:JSS35"/>
    <mergeCell ref="JST35:JTJ35"/>
    <mergeCell ref="JTK35:JUA35"/>
    <mergeCell ref="JUB35:JUR35"/>
    <mergeCell ref="JUS35:JVI35"/>
    <mergeCell ref="JOV35:JPL35"/>
    <mergeCell ref="JPM35:JQC35"/>
    <mergeCell ref="JQD35:JQT35"/>
    <mergeCell ref="JQU35:JRK35"/>
    <mergeCell ref="JRL35:JSB35"/>
    <mergeCell ref="JLO35:JME35"/>
    <mergeCell ref="JMF35:JMV35"/>
    <mergeCell ref="JMW35:JNM35"/>
    <mergeCell ref="JNN35:JOD35"/>
    <mergeCell ref="JOE35:JOU35"/>
    <mergeCell ref="JIH35:JIX35"/>
    <mergeCell ref="JIY35:JJO35"/>
    <mergeCell ref="JJP35:JKF35"/>
    <mergeCell ref="JKG35:JKW35"/>
    <mergeCell ref="JKX35:JLN35"/>
    <mergeCell ref="JFA35:JFQ35"/>
    <mergeCell ref="JFR35:JGH35"/>
    <mergeCell ref="JGI35:JGY35"/>
    <mergeCell ref="JGZ35:JHP35"/>
    <mergeCell ref="JHQ35:JIG35"/>
    <mergeCell ref="JBT35:JCJ35"/>
    <mergeCell ref="JCK35:JDA35"/>
    <mergeCell ref="JDB35:JDR35"/>
    <mergeCell ref="JDS35:JEI35"/>
    <mergeCell ref="JEJ35:JEZ35"/>
    <mergeCell ref="IYM35:IZC35"/>
    <mergeCell ref="IZD35:IZT35"/>
    <mergeCell ref="IZU35:JAK35"/>
    <mergeCell ref="JAL35:JBB35"/>
    <mergeCell ref="JBC35:JBS35"/>
    <mergeCell ref="IVF35:IVV35"/>
    <mergeCell ref="IVW35:IWM35"/>
    <mergeCell ref="IWN35:IXD35"/>
    <mergeCell ref="IXE35:IXU35"/>
    <mergeCell ref="IXV35:IYL35"/>
    <mergeCell ref="IRY35:ISO35"/>
    <mergeCell ref="ISP35:ITF35"/>
    <mergeCell ref="ITG35:ITW35"/>
    <mergeCell ref="ITX35:IUN35"/>
    <mergeCell ref="IUO35:IVE35"/>
    <mergeCell ref="IOR35:IPH35"/>
    <mergeCell ref="IPI35:IPY35"/>
    <mergeCell ref="IPZ35:IQP35"/>
    <mergeCell ref="IQQ35:IRG35"/>
    <mergeCell ref="IRH35:IRX35"/>
    <mergeCell ref="ILK35:IMA35"/>
    <mergeCell ref="IMB35:IMR35"/>
    <mergeCell ref="IMS35:INI35"/>
    <mergeCell ref="INJ35:INZ35"/>
    <mergeCell ref="IOA35:IOQ35"/>
    <mergeCell ref="IID35:IIT35"/>
    <mergeCell ref="IIU35:IJK35"/>
    <mergeCell ref="IJL35:IKB35"/>
    <mergeCell ref="IKC35:IKS35"/>
    <mergeCell ref="IKT35:ILJ35"/>
    <mergeCell ref="IEW35:IFM35"/>
    <mergeCell ref="IFN35:IGD35"/>
    <mergeCell ref="IGE35:IGU35"/>
    <mergeCell ref="IGV35:IHL35"/>
    <mergeCell ref="IHM35:IIC35"/>
    <mergeCell ref="IBP35:ICF35"/>
    <mergeCell ref="ICG35:ICW35"/>
    <mergeCell ref="ICX35:IDN35"/>
    <mergeCell ref="IDO35:IEE35"/>
    <mergeCell ref="IEF35:IEV35"/>
    <mergeCell ref="HYI35:HYY35"/>
    <mergeCell ref="HYZ35:HZP35"/>
    <mergeCell ref="HZQ35:IAG35"/>
    <mergeCell ref="IAH35:IAX35"/>
    <mergeCell ref="IAY35:IBO35"/>
    <mergeCell ref="HVB35:HVR35"/>
    <mergeCell ref="HVS35:HWI35"/>
    <mergeCell ref="HWJ35:HWZ35"/>
    <mergeCell ref="HXA35:HXQ35"/>
    <mergeCell ref="HXR35:HYH35"/>
    <mergeCell ref="HRU35:HSK35"/>
    <mergeCell ref="HSL35:HTB35"/>
    <mergeCell ref="HTC35:HTS35"/>
    <mergeCell ref="HTT35:HUJ35"/>
    <mergeCell ref="HUK35:HVA35"/>
    <mergeCell ref="HON35:HPD35"/>
    <mergeCell ref="HPE35:HPU35"/>
    <mergeCell ref="HPV35:HQL35"/>
    <mergeCell ref="HQM35:HRC35"/>
    <mergeCell ref="HRD35:HRT35"/>
    <mergeCell ref="HLG35:HLW35"/>
    <mergeCell ref="HLX35:HMN35"/>
    <mergeCell ref="HMO35:HNE35"/>
    <mergeCell ref="HNF35:HNV35"/>
    <mergeCell ref="HNW35:HOM35"/>
    <mergeCell ref="HHZ35:HIP35"/>
    <mergeCell ref="HIQ35:HJG35"/>
    <mergeCell ref="HJH35:HJX35"/>
    <mergeCell ref="HJY35:HKO35"/>
    <mergeCell ref="HKP35:HLF35"/>
    <mergeCell ref="HES35:HFI35"/>
    <mergeCell ref="HFJ35:HFZ35"/>
    <mergeCell ref="HGA35:HGQ35"/>
    <mergeCell ref="HGR35:HHH35"/>
    <mergeCell ref="HHI35:HHY35"/>
    <mergeCell ref="HBL35:HCB35"/>
    <mergeCell ref="HCC35:HCS35"/>
    <mergeCell ref="HCT35:HDJ35"/>
    <mergeCell ref="HDK35:HEA35"/>
    <mergeCell ref="HEB35:HER35"/>
    <mergeCell ref="GYE35:GYU35"/>
    <mergeCell ref="GYV35:GZL35"/>
    <mergeCell ref="GZM35:HAC35"/>
    <mergeCell ref="HAD35:HAT35"/>
    <mergeCell ref="HAU35:HBK35"/>
    <mergeCell ref="GUX35:GVN35"/>
    <mergeCell ref="GVO35:GWE35"/>
    <mergeCell ref="GWF35:GWV35"/>
    <mergeCell ref="GWW35:GXM35"/>
    <mergeCell ref="GXN35:GYD35"/>
    <mergeCell ref="GRQ35:GSG35"/>
    <mergeCell ref="GSH35:GSX35"/>
    <mergeCell ref="GSY35:GTO35"/>
    <mergeCell ref="GTP35:GUF35"/>
    <mergeCell ref="GUG35:GUW35"/>
    <mergeCell ref="GOJ35:GOZ35"/>
    <mergeCell ref="GPA35:GPQ35"/>
    <mergeCell ref="GPR35:GQH35"/>
    <mergeCell ref="GQI35:GQY35"/>
    <mergeCell ref="GQZ35:GRP35"/>
    <mergeCell ref="GLC35:GLS35"/>
    <mergeCell ref="GLT35:GMJ35"/>
    <mergeCell ref="GMK35:GNA35"/>
    <mergeCell ref="GNB35:GNR35"/>
    <mergeCell ref="GNS35:GOI35"/>
    <mergeCell ref="GHV35:GIL35"/>
    <mergeCell ref="GIM35:GJC35"/>
    <mergeCell ref="GJD35:GJT35"/>
    <mergeCell ref="GJU35:GKK35"/>
    <mergeCell ref="GKL35:GLB35"/>
    <mergeCell ref="GEO35:GFE35"/>
    <mergeCell ref="GFF35:GFV35"/>
    <mergeCell ref="GFW35:GGM35"/>
    <mergeCell ref="GGN35:GHD35"/>
    <mergeCell ref="GHE35:GHU35"/>
    <mergeCell ref="GBH35:GBX35"/>
    <mergeCell ref="GBY35:GCO35"/>
    <mergeCell ref="GCP35:GDF35"/>
    <mergeCell ref="GDG35:GDW35"/>
    <mergeCell ref="GDX35:GEN35"/>
    <mergeCell ref="FYA35:FYQ35"/>
    <mergeCell ref="FYR35:FZH35"/>
    <mergeCell ref="FZI35:FZY35"/>
    <mergeCell ref="FZZ35:GAP35"/>
    <mergeCell ref="GAQ35:GBG35"/>
    <mergeCell ref="FUT35:FVJ35"/>
    <mergeCell ref="FVK35:FWA35"/>
    <mergeCell ref="FWB35:FWR35"/>
    <mergeCell ref="FWS35:FXI35"/>
    <mergeCell ref="FXJ35:FXZ35"/>
    <mergeCell ref="FRM35:FSC35"/>
    <mergeCell ref="FSD35:FST35"/>
    <mergeCell ref="FSU35:FTK35"/>
    <mergeCell ref="FTL35:FUB35"/>
    <mergeCell ref="FUC35:FUS35"/>
    <mergeCell ref="FOF35:FOV35"/>
    <mergeCell ref="FOW35:FPM35"/>
    <mergeCell ref="FPN35:FQD35"/>
    <mergeCell ref="FQE35:FQU35"/>
    <mergeCell ref="FQV35:FRL35"/>
    <mergeCell ref="FKY35:FLO35"/>
    <mergeCell ref="FLP35:FMF35"/>
    <mergeCell ref="FMG35:FMW35"/>
    <mergeCell ref="FMX35:FNN35"/>
    <mergeCell ref="FNO35:FOE35"/>
    <mergeCell ref="FHR35:FIH35"/>
    <mergeCell ref="FII35:FIY35"/>
    <mergeCell ref="FIZ35:FJP35"/>
    <mergeCell ref="FJQ35:FKG35"/>
    <mergeCell ref="FKH35:FKX35"/>
    <mergeCell ref="FEK35:FFA35"/>
    <mergeCell ref="FFB35:FFR35"/>
    <mergeCell ref="FFS35:FGI35"/>
    <mergeCell ref="FGJ35:FGZ35"/>
    <mergeCell ref="FHA35:FHQ35"/>
    <mergeCell ref="FBD35:FBT35"/>
    <mergeCell ref="FBU35:FCK35"/>
    <mergeCell ref="FCL35:FDB35"/>
    <mergeCell ref="FDC35:FDS35"/>
    <mergeCell ref="FDT35:FEJ35"/>
    <mergeCell ref="EXW35:EYM35"/>
    <mergeCell ref="EYN35:EZD35"/>
    <mergeCell ref="EZE35:EZU35"/>
    <mergeCell ref="EZV35:FAL35"/>
    <mergeCell ref="FAM35:FBC35"/>
    <mergeCell ref="EUP35:EVF35"/>
    <mergeCell ref="EVG35:EVW35"/>
    <mergeCell ref="EVX35:EWN35"/>
    <mergeCell ref="EWO35:EXE35"/>
    <mergeCell ref="EXF35:EXV35"/>
    <mergeCell ref="ERI35:ERY35"/>
    <mergeCell ref="ERZ35:ESP35"/>
    <mergeCell ref="ESQ35:ETG35"/>
    <mergeCell ref="ETH35:ETX35"/>
    <mergeCell ref="ETY35:EUO35"/>
    <mergeCell ref="EOB35:EOR35"/>
    <mergeCell ref="EOS35:EPI35"/>
    <mergeCell ref="EPJ35:EPZ35"/>
    <mergeCell ref="EQA35:EQQ35"/>
    <mergeCell ref="EQR35:ERH35"/>
    <mergeCell ref="EKU35:ELK35"/>
    <mergeCell ref="ELL35:EMB35"/>
    <mergeCell ref="EMC35:EMS35"/>
    <mergeCell ref="EMT35:ENJ35"/>
    <mergeCell ref="ENK35:EOA35"/>
    <mergeCell ref="EHN35:EID35"/>
    <mergeCell ref="EIE35:EIU35"/>
    <mergeCell ref="EIV35:EJL35"/>
    <mergeCell ref="EJM35:EKC35"/>
    <mergeCell ref="EKD35:EKT35"/>
    <mergeCell ref="EEG35:EEW35"/>
    <mergeCell ref="EEX35:EFN35"/>
    <mergeCell ref="EFO35:EGE35"/>
    <mergeCell ref="EGF35:EGV35"/>
    <mergeCell ref="EGW35:EHM35"/>
    <mergeCell ref="EAZ35:EBP35"/>
    <mergeCell ref="EBQ35:ECG35"/>
    <mergeCell ref="ECH35:ECX35"/>
    <mergeCell ref="ECY35:EDO35"/>
    <mergeCell ref="EDP35:EEF35"/>
    <mergeCell ref="DXS35:DYI35"/>
    <mergeCell ref="DYJ35:DYZ35"/>
    <mergeCell ref="DZA35:DZQ35"/>
    <mergeCell ref="DZR35:EAH35"/>
    <mergeCell ref="EAI35:EAY35"/>
    <mergeCell ref="DUL35:DVB35"/>
    <mergeCell ref="DVC35:DVS35"/>
    <mergeCell ref="DVT35:DWJ35"/>
    <mergeCell ref="DWK35:DXA35"/>
    <mergeCell ref="DXB35:DXR35"/>
    <mergeCell ref="DRE35:DRU35"/>
    <mergeCell ref="DRV35:DSL35"/>
    <mergeCell ref="DSM35:DTC35"/>
    <mergeCell ref="DTD35:DTT35"/>
    <mergeCell ref="DTU35:DUK35"/>
    <mergeCell ref="DNX35:DON35"/>
    <mergeCell ref="DOO35:DPE35"/>
    <mergeCell ref="DPF35:DPV35"/>
    <mergeCell ref="DPW35:DQM35"/>
    <mergeCell ref="DQN35:DRD35"/>
    <mergeCell ref="DKQ35:DLG35"/>
    <mergeCell ref="DLH35:DLX35"/>
    <mergeCell ref="DLY35:DMO35"/>
    <mergeCell ref="DMP35:DNF35"/>
    <mergeCell ref="DNG35:DNW35"/>
    <mergeCell ref="DHJ35:DHZ35"/>
    <mergeCell ref="DIA35:DIQ35"/>
    <mergeCell ref="DIR35:DJH35"/>
    <mergeCell ref="DJI35:DJY35"/>
    <mergeCell ref="DJZ35:DKP35"/>
    <mergeCell ref="DEC35:DES35"/>
    <mergeCell ref="DET35:DFJ35"/>
    <mergeCell ref="DFK35:DGA35"/>
    <mergeCell ref="DGB35:DGR35"/>
    <mergeCell ref="DGS35:DHI35"/>
    <mergeCell ref="DAV35:DBL35"/>
    <mergeCell ref="DBM35:DCC35"/>
    <mergeCell ref="DCD35:DCT35"/>
    <mergeCell ref="DCU35:DDK35"/>
    <mergeCell ref="DDL35:DEB35"/>
    <mergeCell ref="CXO35:CYE35"/>
    <mergeCell ref="CYF35:CYV35"/>
    <mergeCell ref="CYW35:CZM35"/>
    <mergeCell ref="CZN35:DAD35"/>
    <mergeCell ref="DAE35:DAU35"/>
    <mergeCell ref="CUH35:CUX35"/>
    <mergeCell ref="CUY35:CVO35"/>
    <mergeCell ref="CVP35:CWF35"/>
    <mergeCell ref="CWG35:CWW35"/>
    <mergeCell ref="CWX35:CXN35"/>
    <mergeCell ref="CRA35:CRQ35"/>
    <mergeCell ref="CRR35:CSH35"/>
    <mergeCell ref="CSI35:CSY35"/>
    <mergeCell ref="CSZ35:CTP35"/>
    <mergeCell ref="CTQ35:CUG35"/>
    <mergeCell ref="CNT35:COJ35"/>
    <mergeCell ref="COK35:CPA35"/>
    <mergeCell ref="CPB35:CPR35"/>
    <mergeCell ref="CPS35:CQI35"/>
    <mergeCell ref="CQJ35:CQZ35"/>
    <mergeCell ref="CKM35:CLC35"/>
    <mergeCell ref="CLD35:CLT35"/>
    <mergeCell ref="CLU35:CMK35"/>
    <mergeCell ref="CML35:CNB35"/>
    <mergeCell ref="CNC35:CNS35"/>
    <mergeCell ref="CHF35:CHV35"/>
    <mergeCell ref="CHW35:CIM35"/>
    <mergeCell ref="CIN35:CJD35"/>
    <mergeCell ref="CJE35:CJU35"/>
    <mergeCell ref="CJV35:CKL35"/>
    <mergeCell ref="CDY35:CEO35"/>
    <mergeCell ref="CEP35:CFF35"/>
    <mergeCell ref="CFG35:CFW35"/>
    <mergeCell ref="CFX35:CGN35"/>
    <mergeCell ref="CGO35:CHE35"/>
    <mergeCell ref="CAR35:CBH35"/>
    <mergeCell ref="CBI35:CBY35"/>
    <mergeCell ref="CBZ35:CCP35"/>
    <mergeCell ref="CCQ35:CDG35"/>
    <mergeCell ref="CDH35:CDX35"/>
    <mergeCell ref="BXK35:BYA35"/>
    <mergeCell ref="BYB35:BYR35"/>
    <mergeCell ref="BYS35:BZI35"/>
    <mergeCell ref="BZJ35:BZZ35"/>
    <mergeCell ref="CAA35:CAQ35"/>
    <mergeCell ref="BUD35:BUT35"/>
    <mergeCell ref="BUU35:BVK35"/>
    <mergeCell ref="BVL35:BWB35"/>
    <mergeCell ref="BWC35:BWS35"/>
    <mergeCell ref="BWT35:BXJ35"/>
    <mergeCell ref="BQW35:BRM35"/>
    <mergeCell ref="BRN35:BSD35"/>
    <mergeCell ref="BSE35:BSU35"/>
    <mergeCell ref="BSV35:BTL35"/>
    <mergeCell ref="BTM35:BUC35"/>
    <mergeCell ref="BNP35:BOF35"/>
    <mergeCell ref="BOG35:BOW35"/>
    <mergeCell ref="BOX35:BPN35"/>
    <mergeCell ref="BPO35:BQE35"/>
    <mergeCell ref="BQF35:BQV35"/>
    <mergeCell ref="BKI35:BKY35"/>
    <mergeCell ref="BKZ35:BLP35"/>
    <mergeCell ref="BLQ35:BMG35"/>
    <mergeCell ref="BMH35:BMX35"/>
    <mergeCell ref="BMY35:BNO35"/>
    <mergeCell ref="BHB35:BHR35"/>
    <mergeCell ref="BHS35:BII35"/>
    <mergeCell ref="BIJ35:BIZ35"/>
    <mergeCell ref="BJA35:BJQ35"/>
    <mergeCell ref="BJR35:BKH35"/>
    <mergeCell ref="BDU35:BEK35"/>
    <mergeCell ref="BEL35:BFB35"/>
    <mergeCell ref="BFC35:BFS35"/>
    <mergeCell ref="BFT35:BGJ35"/>
    <mergeCell ref="BGK35:BHA35"/>
    <mergeCell ref="BAN35:BBD35"/>
    <mergeCell ref="BBE35:BBU35"/>
    <mergeCell ref="BBV35:BCL35"/>
    <mergeCell ref="BCM35:BDC35"/>
    <mergeCell ref="BDD35:BDT35"/>
    <mergeCell ref="AXG35:AXW35"/>
    <mergeCell ref="AXX35:AYN35"/>
    <mergeCell ref="AYO35:AZE35"/>
    <mergeCell ref="AZF35:AZV35"/>
    <mergeCell ref="AZW35:BAM35"/>
    <mergeCell ref="ATZ35:AUP35"/>
    <mergeCell ref="AUQ35:AVG35"/>
    <mergeCell ref="AVH35:AVX35"/>
    <mergeCell ref="AVY35:AWO35"/>
    <mergeCell ref="AWP35:AXF35"/>
    <mergeCell ref="AQS35:ARI35"/>
    <mergeCell ref="ARJ35:ARZ35"/>
    <mergeCell ref="ASA35:ASQ35"/>
    <mergeCell ref="ASR35:ATH35"/>
    <mergeCell ref="ATI35:ATY35"/>
    <mergeCell ref="ANL35:AOB35"/>
    <mergeCell ref="AOC35:AOS35"/>
    <mergeCell ref="AOT35:APJ35"/>
    <mergeCell ref="APK35:AQA35"/>
    <mergeCell ref="AQB35:AQR35"/>
    <mergeCell ref="AKE35:AKU35"/>
    <mergeCell ref="AKV35:ALL35"/>
    <mergeCell ref="ALM35:AMC35"/>
    <mergeCell ref="AMD35:AMT35"/>
    <mergeCell ref="AMU35:ANK35"/>
    <mergeCell ref="AGX35:AHN35"/>
    <mergeCell ref="AHO35:AIE35"/>
    <mergeCell ref="AIF35:AIV35"/>
    <mergeCell ref="AIW35:AJM35"/>
    <mergeCell ref="AJN35:AKD35"/>
    <mergeCell ref="ADQ35:AEG35"/>
    <mergeCell ref="AEH35:AEX35"/>
    <mergeCell ref="AEY35:AFO35"/>
    <mergeCell ref="AFP35:AGF35"/>
    <mergeCell ref="AGG35:AGW35"/>
    <mergeCell ref="AAJ35:AAZ35"/>
    <mergeCell ref="ABA35:ABQ35"/>
    <mergeCell ref="ABR35:ACH35"/>
    <mergeCell ref="ACI35:ACY35"/>
    <mergeCell ref="ACZ35:ADP35"/>
    <mergeCell ref="XC35:XS35"/>
    <mergeCell ref="XT35:YJ35"/>
    <mergeCell ref="YK35:ZA35"/>
    <mergeCell ref="ZB35:ZR35"/>
    <mergeCell ref="ZS35:AAI35"/>
    <mergeCell ref="TV35:UL35"/>
    <mergeCell ref="UM35:VC35"/>
    <mergeCell ref="VD35:VT35"/>
    <mergeCell ref="VU35:WK35"/>
    <mergeCell ref="WL35:XB35"/>
    <mergeCell ref="QO35:RE35"/>
    <mergeCell ref="RF35:RV35"/>
    <mergeCell ref="RW35:SM35"/>
    <mergeCell ref="SN35:TD35"/>
    <mergeCell ref="TE35:TU35"/>
    <mergeCell ref="NH35:NX35"/>
    <mergeCell ref="NY35:OO35"/>
    <mergeCell ref="OP35:PF35"/>
    <mergeCell ref="PG35:PW35"/>
    <mergeCell ref="PX35:QN35"/>
    <mergeCell ref="KA35:KQ35"/>
    <mergeCell ref="KR35:LH35"/>
    <mergeCell ref="LI35:LY35"/>
    <mergeCell ref="LZ35:MP35"/>
    <mergeCell ref="MQ35:NG35"/>
    <mergeCell ref="GT35:HJ35"/>
    <mergeCell ref="HK35:IA35"/>
    <mergeCell ref="IB35:IR35"/>
    <mergeCell ref="IS35:JI35"/>
    <mergeCell ref="JJ35:JZ35"/>
    <mergeCell ref="DM35:EC35"/>
    <mergeCell ref="ED35:ET35"/>
    <mergeCell ref="EU35:FK35"/>
    <mergeCell ref="FL35:GB35"/>
    <mergeCell ref="GC35:GS35"/>
    <mergeCell ref="AX35:BM35"/>
    <mergeCell ref="BN35:CD35"/>
    <mergeCell ref="CE35:CU35"/>
    <mergeCell ref="CV35:DL35"/>
    <mergeCell ref="XBY34:XCO34"/>
    <mergeCell ref="XCP34:XDF34"/>
    <mergeCell ref="XDG34:XDW34"/>
    <mergeCell ref="WOW34:WPM34"/>
    <mergeCell ref="WPN34:WQD34"/>
    <mergeCell ref="WQE34:WQU34"/>
    <mergeCell ref="WQV34:WRL34"/>
    <mergeCell ref="WRM34:WSC34"/>
    <mergeCell ref="WLP34:WMF34"/>
    <mergeCell ref="WMG34:WMW34"/>
    <mergeCell ref="WMX34:WNN34"/>
    <mergeCell ref="WNO34:WOE34"/>
    <mergeCell ref="WOF34:WOV34"/>
    <mergeCell ref="WII34:WIY34"/>
    <mergeCell ref="WIZ34:WJP34"/>
    <mergeCell ref="WJQ34:WKG34"/>
    <mergeCell ref="WKH34:WKX34"/>
    <mergeCell ref="WKY34:WLO34"/>
    <mergeCell ref="XDX34:XEN34"/>
    <mergeCell ref="XEO34:XFA34"/>
    <mergeCell ref="WYR34:WZH34"/>
    <mergeCell ref="WZI34:WZY34"/>
    <mergeCell ref="WZZ34:XAP34"/>
    <mergeCell ref="XAQ34:XBG34"/>
    <mergeCell ref="XBH34:XBX34"/>
    <mergeCell ref="WVK34:WWA34"/>
    <mergeCell ref="WWB34:WWR34"/>
    <mergeCell ref="WWS34:WXI34"/>
    <mergeCell ref="WXJ34:WXZ34"/>
    <mergeCell ref="WYA34:WYQ34"/>
    <mergeCell ref="WSD34:WST34"/>
    <mergeCell ref="WSU34:WTK34"/>
    <mergeCell ref="WTL34:WUB34"/>
    <mergeCell ref="WUC34:WUS34"/>
    <mergeCell ref="WUT34:WVJ34"/>
    <mergeCell ref="WFB34:WFR34"/>
    <mergeCell ref="WFS34:WGI34"/>
    <mergeCell ref="WGJ34:WGZ34"/>
    <mergeCell ref="WHA34:WHQ34"/>
    <mergeCell ref="WHR34:WIH34"/>
    <mergeCell ref="WBU34:WCK34"/>
    <mergeCell ref="WCL34:WDB34"/>
    <mergeCell ref="WDC34:WDS34"/>
    <mergeCell ref="WDT34:WEJ34"/>
    <mergeCell ref="WEK34:WFA34"/>
    <mergeCell ref="VYN34:VZD34"/>
    <mergeCell ref="VZE34:VZU34"/>
    <mergeCell ref="VZV34:WAL34"/>
    <mergeCell ref="WAM34:WBC34"/>
    <mergeCell ref="WBD34:WBT34"/>
    <mergeCell ref="VVG34:VVW34"/>
    <mergeCell ref="VVX34:VWN34"/>
    <mergeCell ref="VWO34:VXE34"/>
    <mergeCell ref="VXF34:VXV34"/>
    <mergeCell ref="VXW34:VYM34"/>
    <mergeCell ref="VRZ34:VSP34"/>
    <mergeCell ref="VSQ34:VTG34"/>
    <mergeCell ref="VTH34:VTX34"/>
    <mergeCell ref="VTY34:VUO34"/>
    <mergeCell ref="VUP34:VVF34"/>
    <mergeCell ref="VOS34:VPI34"/>
    <mergeCell ref="VPJ34:VPZ34"/>
    <mergeCell ref="VQA34:VQQ34"/>
    <mergeCell ref="VQR34:VRH34"/>
    <mergeCell ref="VRI34:VRY34"/>
    <mergeCell ref="VLL34:VMB34"/>
    <mergeCell ref="VMC34:VMS34"/>
    <mergeCell ref="VMT34:VNJ34"/>
    <mergeCell ref="VNK34:VOA34"/>
    <mergeCell ref="VOB34:VOR34"/>
    <mergeCell ref="VIE34:VIU34"/>
    <mergeCell ref="VIV34:VJL34"/>
    <mergeCell ref="VJM34:VKC34"/>
    <mergeCell ref="VKD34:VKT34"/>
    <mergeCell ref="VKU34:VLK34"/>
    <mergeCell ref="VEX34:VFN34"/>
    <mergeCell ref="VFO34:VGE34"/>
    <mergeCell ref="VGF34:VGV34"/>
    <mergeCell ref="VGW34:VHM34"/>
    <mergeCell ref="VHN34:VID34"/>
    <mergeCell ref="VBQ34:VCG34"/>
    <mergeCell ref="VCH34:VCX34"/>
    <mergeCell ref="VCY34:VDO34"/>
    <mergeCell ref="VDP34:VEF34"/>
    <mergeCell ref="VEG34:VEW34"/>
    <mergeCell ref="UYJ34:UYZ34"/>
    <mergeCell ref="UZA34:UZQ34"/>
    <mergeCell ref="UZR34:VAH34"/>
    <mergeCell ref="VAI34:VAY34"/>
    <mergeCell ref="VAZ34:VBP34"/>
    <mergeCell ref="UVC34:UVS34"/>
    <mergeCell ref="UVT34:UWJ34"/>
    <mergeCell ref="UWK34:UXA34"/>
    <mergeCell ref="UXB34:UXR34"/>
    <mergeCell ref="UXS34:UYI34"/>
    <mergeCell ref="URV34:USL34"/>
    <mergeCell ref="USM34:UTC34"/>
    <mergeCell ref="UTD34:UTT34"/>
    <mergeCell ref="UTU34:UUK34"/>
    <mergeCell ref="UUL34:UVB34"/>
    <mergeCell ref="UOO34:UPE34"/>
    <mergeCell ref="UPF34:UPV34"/>
    <mergeCell ref="UPW34:UQM34"/>
    <mergeCell ref="UQN34:URD34"/>
    <mergeCell ref="URE34:URU34"/>
    <mergeCell ref="ULH34:ULX34"/>
    <mergeCell ref="ULY34:UMO34"/>
    <mergeCell ref="UMP34:UNF34"/>
    <mergeCell ref="UNG34:UNW34"/>
    <mergeCell ref="UNX34:UON34"/>
    <mergeCell ref="UIA34:UIQ34"/>
    <mergeCell ref="UIR34:UJH34"/>
    <mergeCell ref="UJI34:UJY34"/>
    <mergeCell ref="UJZ34:UKP34"/>
    <mergeCell ref="UKQ34:ULG34"/>
    <mergeCell ref="UET34:UFJ34"/>
    <mergeCell ref="UFK34:UGA34"/>
    <mergeCell ref="UGB34:UGR34"/>
    <mergeCell ref="UGS34:UHI34"/>
    <mergeCell ref="UHJ34:UHZ34"/>
    <mergeCell ref="UBM34:UCC34"/>
    <mergeCell ref="UCD34:UCT34"/>
    <mergeCell ref="UCU34:UDK34"/>
    <mergeCell ref="UDL34:UEB34"/>
    <mergeCell ref="UEC34:UES34"/>
    <mergeCell ref="TYF34:TYV34"/>
    <mergeCell ref="TYW34:TZM34"/>
    <mergeCell ref="TZN34:UAD34"/>
    <mergeCell ref="UAE34:UAU34"/>
    <mergeCell ref="UAV34:UBL34"/>
    <mergeCell ref="TUY34:TVO34"/>
    <mergeCell ref="TVP34:TWF34"/>
    <mergeCell ref="TWG34:TWW34"/>
    <mergeCell ref="TWX34:TXN34"/>
    <mergeCell ref="TXO34:TYE34"/>
    <mergeCell ref="TRR34:TSH34"/>
    <mergeCell ref="TSI34:TSY34"/>
    <mergeCell ref="TSZ34:TTP34"/>
    <mergeCell ref="TTQ34:TUG34"/>
    <mergeCell ref="TUH34:TUX34"/>
    <mergeCell ref="TOK34:TPA34"/>
    <mergeCell ref="TPB34:TPR34"/>
    <mergeCell ref="TPS34:TQI34"/>
    <mergeCell ref="TQJ34:TQZ34"/>
    <mergeCell ref="TRA34:TRQ34"/>
    <mergeCell ref="TLD34:TLT34"/>
    <mergeCell ref="TLU34:TMK34"/>
    <mergeCell ref="TML34:TNB34"/>
    <mergeCell ref="TNC34:TNS34"/>
    <mergeCell ref="TNT34:TOJ34"/>
    <mergeCell ref="THW34:TIM34"/>
    <mergeCell ref="TIN34:TJD34"/>
    <mergeCell ref="TJE34:TJU34"/>
    <mergeCell ref="TJV34:TKL34"/>
    <mergeCell ref="TKM34:TLC34"/>
    <mergeCell ref="TEP34:TFF34"/>
    <mergeCell ref="TFG34:TFW34"/>
    <mergeCell ref="TFX34:TGN34"/>
    <mergeCell ref="TGO34:THE34"/>
    <mergeCell ref="THF34:THV34"/>
    <mergeCell ref="TBI34:TBY34"/>
    <mergeCell ref="TBZ34:TCP34"/>
    <mergeCell ref="TCQ34:TDG34"/>
    <mergeCell ref="TDH34:TDX34"/>
    <mergeCell ref="TDY34:TEO34"/>
    <mergeCell ref="SYB34:SYR34"/>
    <mergeCell ref="SYS34:SZI34"/>
    <mergeCell ref="SZJ34:SZZ34"/>
    <mergeCell ref="TAA34:TAQ34"/>
    <mergeCell ref="TAR34:TBH34"/>
    <mergeCell ref="SUU34:SVK34"/>
    <mergeCell ref="SVL34:SWB34"/>
    <mergeCell ref="SWC34:SWS34"/>
    <mergeCell ref="SWT34:SXJ34"/>
    <mergeCell ref="SXK34:SYA34"/>
    <mergeCell ref="SRN34:SSD34"/>
    <mergeCell ref="SSE34:SSU34"/>
    <mergeCell ref="SSV34:STL34"/>
    <mergeCell ref="STM34:SUC34"/>
    <mergeCell ref="SUD34:SUT34"/>
    <mergeCell ref="SOG34:SOW34"/>
    <mergeCell ref="SOX34:SPN34"/>
    <mergeCell ref="SPO34:SQE34"/>
    <mergeCell ref="SQF34:SQV34"/>
    <mergeCell ref="SQW34:SRM34"/>
    <mergeCell ref="SKZ34:SLP34"/>
    <mergeCell ref="SLQ34:SMG34"/>
    <mergeCell ref="SMH34:SMX34"/>
    <mergeCell ref="SMY34:SNO34"/>
    <mergeCell ref="SNP34:SOF34"/>
    <mergeCell ref="SHS34:SII34"/>
    <mergeCell ref="SIJ34:SIZ34"/>
    <mergeCell ref="SJA34:SJQ34"/>
    <mergeCell ref="SJR34:SKH34"/>
    <mergeCell ref="SKI34:SKY34"/>
    <mergeCell ref="SEL34:SFB34"/>
    <mergeCell ref="SFC34:SFS34"/>
    <mergeCell ref="SFT34:SGJ34"/>
    <mergeCell ref="SGK34:SHA34"/>
    <mergeCell ref="SHB34:SHR34"/>
    <mergeCell ref="SBE34:SBU34"/>
    <mergeCell ref="SBV34:SCL34"/>
    <mergeCell ref="SCM34:SDC34"/>
    <mergeCell ref="SDD34:SDT34"/>
    <mergeCell ref="SDU34:SEK34"/>
    <mergeCell ref="RXX34:RYN34"/>
    <mergeCell ref="RYO34:RZE34"/>
    <mergeCell ref="RZF34:RZV34"/>
    <mergeCell ref="RZW34:SAM34"/>
    <mergeCell ref="SAN34:SBD34"/>
    <mergeCell ref="RUQ34:RVG34"/>
    <mergeCell ref="RVH34:RVX34"/>
    <mergeCell ref="RVY34:RWO34"/>
    <mergeCell ref="RWP34:RXF34"/>
    <mergeCell ref="RXG34:RXW34"/>
    <mergeCell ref="RRJ34:RRZ34"/>
    <mergeCell ref="RSA34:RSQ34"/>
    <mergeCell ref="RSR34:RTH34"/>
    <mergeCell ref="RTI34:RTY34"/>
    <mergeCell ref="RTZ34:RUP34"/>
    <mergeCell ref="ROC34:ROS34"/>
    <mergeCell ref="ROT34:RPJ34"/>
    <mergeCell ref="RPK34:RQA34"/>
    <mergeCell ref="RQB34:RQR34"/>
    <mergeCell ref="RQS34:RRI34"/>
    <mergeCell ref="RKV34:RLL34"/>
    <mergeCell ref="RLM34:RMC34"/>
    <mergeCell ref="RMD34:RMT34"/>
    <mergeCell ref="RMU34:RNK34"/>
    <mergeCell ref="RNL34:ROB34"/>
    <mergeCell ref="RHO34:RIE34"/>
    <mergeCell ref="RIF34:RIV34"/>
    <mergeCell ref="RIW34:RJM34"/>
    <mergeCell ref="RJN34:RKD34"/>
    <mergeCell ref="RKE34:RKU34"/>
    <mergeCell ref="REH34:REX34"/>
    <mergeCell ref="REY34:RFO34"/>
    <mergeCell ref="RFP34:RGF34"/>
    <mergeCell ref="RGG34:RGW34"/>
    <mergeCell ref="RGX34:RHN34"/>
    <mergeCell ref="RBA34:RBQ34"/>
    <mergeCell ref="RBR34:RCH34"/>
    <mergeCell ref="RCI34:RCY34"/>
    <mergeCell ref="RCZ34:RDP34"/>
    <mergeCell ref="RDQ34:REG34"/>
    <mergeCell ref="QXT34:QYJ34"/>
    <mergeCell ref="QYK34:QZA34"/>
    <mergeCell ref="QZB34:QZR34"/>
    <mergeCell ref="QZS34:RAI34"/>
    <mergeCell ref="RAJ34:RAZ34"/>
    <mergeCell ref="QUM34:QVC34"/>
    <mergeCell ref="QVD34:QVT34"/>
    <mergeCell ref="QVU34:QWK34"/>
    <mergeCell ref="QWL34:QXB34"/>
    <mergeCell ref="QXC34:QXS34"/>
    <mergeCell ref="QRF34:QRV34"/>
    <mergeCell ref="QRW34:QSM34"/>
    <mergeCell ref="QSN34:QTD34"/>
    <mergeCell ref="QTE34:QTU34"/>
    <mergeCell ref="QTV34:QUL34"/>
    <mergeCell ref="QNY34:QOO34"/>
    <mergeCell ref="QOP34:QPF34"/>
    <mergeCell ref="QPG34:QPW34"/>
    <mergeCell ref="QPX34:QQN34"/>
    <mergeCell ref="QQO34:QRE34"/>
    <mergeCell ref="QKR34:QLH34"/>
    <mergeCell ref="QLI34:QLY34"/>
    <mergeCell ref="QLZ34:QMP34"/>
    <mergeCell ref="QMQ34:QNG34"/>
    <mergeCell ref="QNH34:QNX34"/>
    <mergeCell ref="QHK34:QIA34"/>
    <mergeCell ref="QIB34:QIR34"/>
    <mergeCell ref="QIS34:QJI34"/>
    <mergeCell ref="QJJ34:QJZ34"/>
    <mergeCell ref="QKA34:QKQ34"/>
    <mergeCell ref="QED34:QET34"/>
    <mergeCell ref="QEU34:QFK34"/>
    <mergeCell ref="QFL34:QGB34"/>
    <mergeCell ref="QGC34:QGS34"/>
    <mergeCell ref="QGT34:QHJ34"/>
    <mergeCell ref="QAW34:QBM34"/>
    <mergeCell ref="QBN34:QCD34"/>
    <mergeCell ref="QCE34:QCU34"/>
    <mergeCell ref="QCV34:QDL34"/>
    <mergeCell ref="QDM34:QEC34"/>
    <mergeCell ref="PXP34:PYF34"/>
    <mergeCell ref="PYG34:PYW34"/>
    <mergeCell ref="PYX34:PZN34"/>
    <mergeCell ref="PZO34:QAE34"/>
    <mergeCell ref="QAF34:QAV34"/>
    <mergeCell ref="PUI34:PUY34"/>
    <mergeCell ref="PUZ34:PVP34"/>
    <mergeCell ref="PVQ34:PWG34"/>
    <mergeCell ref="PWH34:PWX34"/>
    <mergeCell ref="PWY34:PXO34"/>
    <mergeCell ref="PRB34:PRR34"/>
    <mergeCell ref="PRS34:PSI34"/>
    <mergeCell ref="PSJ34:PSZ34"/>
    <mergeCell ref="PTA34:PTQ34"/>
    <mergeCell ref="PTR34:PUH34"/>
    <mergeCell ref="PNU34:POK34"/>
    <mergeCell ref="POL34:PPB34"/>
    <mergeCell ref="PPC34:PPS34"/>
    <mergeCell ref="PPT34:PQJ34"/>
    <mergeCell ref="PQK34:PRA34"/>
    <mergeCell ref="PKN34:PLD34"/>
    <mergeCell ref="PLE34:PLU34"/>
    <mergeCell ref="PLV34:PML34"/>
    <mergeCell ref="PMM34:PNC34"/>
    <mergeCell ref="PND34:PNT34"/>
    <mergeCell ref="PHG34:PHW34"/>
    <mergeCell ref="PHX34:PIN34"/>
    <mergeCell ref="PIO34:PJE34"/>
    <mergeCell ref="PJF34:PJV34"/>
    <mergeCell ref="PJW34:PKM34"/>
    <mergeCell ref="PDZ34:PEP34"/>
    <mergeCell ref="PEQ34:PFG34"/>
    <mergeCell ref="PFH34:PFX34"/>
    <mergeCell ref="PFY34:PGO34"/>
    <mergeCell ref="PGP34:PHF34"/>
    <mergeCell ref="PAS34:PBI34"/>
    <mergeCell ref="PBJ34:PBZ34"/>
    <mergeCell ref="PCA34:PCQ34"/>
    <mergeCell ref="PCR34:PDH34"/>
    <mergeCell ref="PDI34:PDY34"/>
    <mergeCell ref="OXL34:OYB34"/>
    <mergeCell ref="OYC34:OYS34"/>
    <mergeCell ref="OYT34:OZJ34"/>
    <mergeCell ref="OZK34:PAA34"/>
    <mergeCell ref="PAB34:PAR34"/>
    <mergeCell ref="OUE34:OUU34"/>
    <mergeCell ref="OUV34:OVL34"/>
    <mergeCell ref="OVM34:OWC34"/>
    <mergeCell ref="OWD34:OWT34"/>
    <mergeCell ref="OWU34:OXK34"/>
    <mergeCell ref="OQX34:ORN34"/>
    <mergeCell ref="ORO34:OSE34"/>
    <mergeCell ref="OSF34:OSV34"/>
    <mergeCell ref="OSW34:OTM34"/>
    <mergeCell ref="OTN34:OUD34"/>
    <mergeCell ref="ONQ34:OOG34"/>
    <mergeCell ref="OOH34:OOX34"/>
    <mergeCell ref="OOY34:OPO34"/>
    <mergeCell ref="OPP34:OQF34"/>
    <mergeCell ref="OQG34:OQW34"/>
    <mergeCell ref="OKJ34:OKZ34"/>
    <mergeCell ref="OLA34:OLQ34"/>
    <mergeCell ref="OLR34:OMH34"/>
    <mergeCell ref="OMI34:OMY34"/>
    <mergeCell ref="OMZ34:ONP34"/>
    <mergeCell ref="OHC34:OHS34"/>
    <mergeCell ref="OHT34:OIJ34"/>
    <mergeCell ref="OIK34:OJA34"/>
    <mergeCell ref="OJB34:OJR34"/>
    <mergeCell ref="OJS34:OKI34"/>
    <mergeCell ref="ODV34:OEL34"/>
    <mergeCell ref="OEM34:OFC34"/>
    <mergeCell ref="OFD34:OFT34"/>
    <mergeCell ref="OFU34:OGK34"/>
    <mergeCell ref="OGL34:OHB34"/>
    <mergeCell ref="OAO34:OBE34"/>
    <mergeCell ref="OBF34:OBV34"/>
    <mergeCell ref="OBW34:OCM34"/>
    <mergeCell ref="OCN34:ODD34"/>
    <mergeCell ref="ODE34:ODU34"/>
    <mergeCell ref="NXH34:NXX34"/>
    <mergeCell ref="NXY34:NYO34"/>
    <mergeCell ref="NYP34:NZF34"/>
    <mergeCell ref="NZG34:NZW34"/>
    <mergeCell ref="NZX34:OAN34"/>
    <mergeCell ref="NUA34:NUQ34"/>
    <mergeCell ref="NUR34:NVH34"/>
    <mergeCell ref="NVI34:NVY34"/>
    <mergeCell ref="NVZ34:NWP34"/>
    <mergeCell ref="NWQ34:NXG34"/>
    <mergeCell ref="NQT34:NRJ34"/>
    <mergeCell ref="NRK34:NSA34"/>
    <mergeCell ref="NSB34:NSR34"/>
    <mergeCell ref="NSS34:NTI34"/>
    <mergeCell ref="NTJ34:NTZ34"/>
    <mergeCell ref="NNM34:NOC34"/>
    <mergeCell ref="NOD34:NOT34"/>
    <mergeCell ref="NOU34:NPK34"/>
    <mergeCell ref="NPL34:NQB34"/>
    <mergeCell ref="NQC34:NQS34"/>
    <mergeCell ref="NKF34:NKV34"/>
    <mergeCell ref="NKW34:NLM34"/>
    <mergeCell ref="NLN34:NMD34"/>
    <mergeCell ref="NME34:NMU34"/>
    <mergeCell ref="NMV34:NNL34"/>
    <mergeCell ref="NGY34:NHO34"/>
    <mergeCell ref="NHP34:NIF34"/>
    <mergeCell ref="NIG34:NIW34"/>
    <mergeCell ref="NIX34:NJN34"/>
    <mergeCell ref="NJO34:NKE34"/>
    <mergeCell ref="NDR34:NEH34"/>
    <mergeCell ref="NEI34:NEY34"/>
    <mergeCell ref="NEZ34:NFP34"/>
    <mergeCell ref="NFQ34:NGG34"/>
    <mergeCell ref="NGH34:NGX34"/>
    <mergeCell ref="NAK34:NBA34"/>
    <mergeCell ref="NBB34:NBR34"/>
    <mergeCell ref="NBS34:NCI34"/>
    <mergeCell ref="NCJ34:NCZ34"/>
    <mergeCell ref="NDA34:NDQ34"/>
    <mergeCell ref="MXD34:MXT34"/>
    <mergeCell ref="MXU34:MYK34"/>
    <mergeCell ref="MYL34:MZB34"/>
    <mergeCell ref="MZC34:MZS34"/>
    <mergeCell ref="MZT34:NAJ34"/>
    <mergeCell ref="MTW34:MUM34"/>
    <mergeCell ref="MUN34:MVD34"/>
    <mergeCell ref="MVE34:MVU34"/>
    <mergeCell ref="MVV34:MWL34"/>
    <mergeCell ref="MWM34:MXC34"/>
    <mergeCell ref="MQP34:MRF34"/>
    <mergeCell ref="MRG34:MRW34"/>
    <mergeCell ref="MRX34:MSN34"/>
    <mergeCell ref="MSO34:MTE34"/>
    <mergeCell ref="MTF34:MTV34"/>
    <mergeCell ref="MNI34:MNY34"/>
    <mergeCell ref="MNZ34:MOP34"/>
    <mergeCell ref="MOQ34:MPG34"/>
    <mergeCell ref="MPH34:MPX34"/>
    <mergeCell ref="MPY34:MQO34"/>
    <mergeCell ref="MKB34:MKR34"/>
    <mergeCell ref="MKS34:MLI34"/>
    <mergeCell ref="MLJ34:MLZ34"/>
    <mergeCell ref="MMA34:MMQ34"/>
    <mergeCell ref="MMR34:MNH34"/>
    <mergeCell ref="MGU34:MHK34"/>
    <mergeCell ref="MHL34:MIB34"/>
    <mergeCell ref="MIC34:MIS34"/>
    <mergeCell ref="MIT34:MJJ34"/>
    <mergeCell ref="MJK34:MKA34"/>
    <mergeCell ref="MDN34:MED34"/>
    <mergeCell ref="MEE34:MEU34"/>
    <mergeCell ref="MEV34:MFL34"/>
    <mergeCell ref="MFM34:MGC34"/>
    <mergeCell ref="MGD34:MGT34"/>
    <mergeCell ref="MAG34:MAW34"/>
    <mergeCell ref="MAX34:MBN34"/>
    <mergeCell ref="MBO34:MCE34"/>
    <mergeCell ref="MCF34:MCV34"/>
    <mergeCell ref="MCW34:MDM34"/>
    <mergeCell ref="LWZ34:LXP34"/>
    <mergeCell ref="LXQ34:LYG34"/>
    <mergeCell ref="LYH34:LYX34"/>
    <mergeCell ref="LYY34:LZO34"/>
    <mergeCell ref="LZP34:MAF34"/>
    <mergeCell ref="LTS34:LUI34"/>
    <mergeCell ref="LUJ34:LUZ34"/>
    <mergeCell ref="LVA34:LVQ34"/>
    <mergeCell ref="LVR34:LWH34"/>
    <mergeCell ref="LWI34:LWY34"/>
    <mergeCell ref="LQL34:LRB34"/>
    <mergeCell ref="LRC34:LRS34"/>
    <mergeCell ref="LRT34:LSJ34"/>
    <mergeCell ref="LSK34:LTA34"/>
    <mergeCell ref="LTB34:LTR34"/>
    <mergeCell ref="LNE34:LNU34"/>
    <mergeCell ref="LNV34:LOL34"/>
    <mergeCell ref="LOM34:LPC34"/>
    <mergeCell ref="LPD34:LPT34"/>
    <mergeCell ref="LPU34:LQK34"/>
    <mergeCell ref="LJX34:LKN34"/>
    <mergeCell ref="LKO34:LLE34"/>
    <mergeCell ref="LLF34:LLV34"/>
    <mergeCell ref="LLW34:LMM34"/>
    <mergeCell ref="LMN34:LND34"/>
    <mergeCell ref="LGQ34:LHG34"/>
    <mergeCell ref="LHH34:LHX34"/>
    <mergeCell ref="LHY34:LIO34"/>
    <mergeCell ref="LIP34:LJF34"/>
    <mergeCell ref="LJG34:LJW34"/>
    <mergeCell ref="LDJ34:LDZ34"/>
    <mergeCell ref="LEA34:LEQ34"/>
    <mergeCell ref="LER34:LFH34"/>
    <mergeCell ref="LFI34:LFY34"/>
    <mergeCell ref="LFZ34:LGP34"/>
    <mergeCell ref="LAC34:LAS34"/>
    <mergeCell ref="LAT34:LBJ34"/>
    <mergeCell ref="LBK34:LCA34"/>
    <mergeCell ref="LCB34:LCR34"/>
    <mergeCell ref="LCS34:LDI34"/>
    <mergeCell ref="KWV34:KXL34"/>
    <mergeCell ref="KXM34:KYC34"/>
    <mergeCell ref="KYD34:KYT34"/>
    <mergeCell ref="KYU34:KZK34"/>
    <mergeCell ref="KZL34:LAB34"/>
    <mergeCell ref="KTO34:KUE34"/>
    <mergeCell ref="KUF34:KUV34"/>
    <mergeCell ref="KUW34:KVM34"/>
    <mergeCell ref="KVN34:KWD34"/>
    <mergeCell ref="KWE34:KWU34"/>
    <mergeCell ref="KQH34:KQX34"/>
    <mergeCell ref="KQY34:KRO34"/>
    <mergeCell ref="KRP34:KSF34"/>
    <mergeCell ref="KSG34:KSW34"/>
    <mergeCell ref="KSX34:KTN34"/>
    <mergeCell ref="KNA34:KNQ34"/>
    <mergeCell ref="KNR34:KOH34"/>
    <mergeCell ref="KOI34:KOY34"/>
    <mergeCell ref="KOZ34:KPP34"/>
    <mergeCell ref="KPQ34:KQG34"/>
    <mergeCell ref="KJT34:KKJ34"/>
    <mergeCell ref="KKK34:KLA34"/>
    <mergeCell ref="KLB34:KLR34"/>
    <mergeCell ref="KLS34:KMI34"/>
    <mergeCell ref="KMJ34:KMZ34"/>
    <mergeCell ref="KGM34:KHC34"/>
    <mergeCell ref="KHD34:KHT34"/>
    <mergeCell ref="KHU34:KIK34"/>
    <mergeCell ref="KIL34:KJB34"/>
    <mergeCell ref="KJC34:KJS34"/>
    <mergeCell ref="KDF34:KDV34"/>
    <mergeCell ref="KDW34:KEM34"/>
    <mergeCell ref="KEN34:KFD34"/>
    <mergeCell ref="KFE34:KFU34"/>
    <mergeCell ref="KFV34:KGL34"/>
    <mergeCell ref="JZY34:KAO34"/>
    <mergeCell ref="KAP34:KBF34"/>
    <mergeCell ref="KBG34:KBW34"/>
    <mergeCell ref="KBX34:KCN34"/>
    <mergeCell ref="KCO34:KDE34"/>
    <mergeCell ref="JWR34:JXH34"/>
    <mergeCell ref="JXI34:JXY34"/>
    <mergeCell ref="JXZ34:JYP34"/>
    <mergeCell ref="JYQ34:JZG34"/>
    <mergeCell ref="JZH34:JZX34"/>
    <mergeCell ref="JTK34:JUA34"/>
    <mergeCell ref="JUB34:JUR34"/>
    <mergeCell ref="JUS34:JVI34"/>
    <mergeCell ref="JVJ34:JVZ34"/>
    <mergeCell ref="JWA34:JWQ34"/>
    <mergeCell ref="JQD34:JQT34"/>
    <mergeCell ref="JQU34:JRK34"/>
    <mergeCell ref="JRL34:JSB34"/>
    <mergeCell ref="JSC34:JSS34"/>
    <mergeCell ref="JST34:JTJ34"/>
    <mergeCell ref="JMW34:JNM34"/>
    <mergeCell ref="JNN34:JOD34"/>
    <mergeCell ref="JOE34:JOU34"/>
    <mergeCell ref="JOV34:JPL34"/>
    <mergeCell ref="JPM34:JQC34"/>
    <mergeCell ref="JJP34:JKF34"/>
    <mergeCell ref="JKG34:JKW34"/>
    <mergeCell ref="JKX34:JLN34"/>
    <mergeCell ref="JLO34:JME34"/>
    <mergeCell ref="JMF34:JMV34"/>
    <mergeCell ref="JGI34:JGY34"/>
    <mergeCell ref="JGZ34:JHP34"/>
    <mergeCell ref="JHQ34:JIG34"/>
    <mergeCell ref="JIH34:JIX34"/>
    <mergeCell ref="JIY34:JJO34"/>
    <mergeCell ref="JDB34:JDR34"/>
    <mergeCell ref="JDS34:JEI34"/>
    <mergeCell ref="JEJ34:JEZ34"/>
    <mergeCell ref="JFA34:JFQ34"/>
    <mergeCell ref="JFR34:JGH34"/>
    <mergeCell ref="IZU34:JAK34"/>
    <mergeCell ref="JAL34:JBB34"/>
    <mergeCell ref="JBC34:JBS34"/>
    <mergeCell ref="JBT34:JCJ34"/>
    <mergeCell ref="JCK34:JDA34"/>
    <mergeCell ref="IWN34:IXD34"/>
    <mergeCell ref="IXE34:IXU34"/>
    <mergeCell ref="IXV34:IYL34"/>
    <mergeCell ref="IYM34:IZC34"/>
    <mergeCell ref="IZD34:IZT34"/>
    <mergeCell ref="ITG34:ITW34"/>
    <mergeCell ref="ITX34:IUN34"/>
    <mergeCell ref="IUO34:IVE34"/>
    <mergeCell ref="IVF34:IVV34"/>
    <mergeCell ref="IVW34:IWM34"/>
    <mergeCell ref="IPZ34:IQP34"/>
    <mergeCell ref="IQQ34:IRG34"/>
    <mergeCell ref="IRH34:IRX34"/>
    <mergeCell ref="IRY34:ISO34"/>
    <mergeCell ref="ISP34:ITF34"/>
    <mergeCell ref="IMS34:INI34"/>
    <mergeCell ref="INJ34:INZ34"/>
    <mergeCell ref="IOA34:IOQ34"/>
    <mergeCell ref="IOR34:IPH34"/>
    <mergeCell ref="IPI34:IPY34"/>
    <mergeCell ref="IJL34:IKB34"/>
    <mergeCell ref="IKC34:IKS34"/>
    <mergeCell ref="IKT34:ILJ34"/>
    <mergeCell ref="ILK34:IMA34"/>
    <mergeCell ref="IMB34:IMR34"/>
    <mergeCell ref="IGE34:IGU34"/>
    <mergeCell ref="IGV34:IHL34"/>
    <mergeCell ref="IHM34:IIC34"/>
    <mergeCell ref="IID34:IIT34"/>
    <mergeCell ref="IIU34:IJK34"/>
    <mergeCell ref="ICX34:IDN34"/>
    <mergeCell ref="IDO34:IEE34"/>
    <mergeCell ref="IEF34:IEV34"/>
    <mergeCell ref="IEW34:IFM34"/>
    <mergeCell ref="IFN34:IGD34"/>
    <mergeCell ref="HZQ34:IAG34"/>
    <mergeCell ref="IAH34:IAX34"/>
    <mergeCell ref="IAY34:IBO34"/>
    <mergeCell ref="IBP34:ICF34"/>
    <mergeCell ref="ICG34:ICW34"/>
    <mergeCell ref="HWJ34:HWZ34"/>
    <mergeCell ref="HXA34:HXQ34"/>
    <mergeCell ref="HXR34:HYH34"/>
    <mergeCell ref="HYI34:HYY34"/>
    <mergeCell ref="HYZ34:HZP34"/>
    <mergeCell ref="HTC34:HTS34"/>
    <mergeCell ref="HTT34:HUJ34"/>
    <mergeCell ref="HUK34:HVA34"/>
    <mergeCell ref="HVB34:HVR34"/>
    <mergeCell ref="HVS34:HWI34"/>
    <mergeCell ref="HPV34:HQL34"/>
    <mergeCell ref="HQM34:HRC34"/>
    <mergeCell ref="HRD34:HRT34"/>
    <mergeCell ref="HRU34:HSK34"/>
    <mergeCell ref="HSL34:HTB34"/>
    <mergeCell ref="HMO34:HNE34"/>
    <mergeCell ref="HNF34:HNV34"/>
    <mergeCell ref="HNW34:HOM34"/>
    <mergeCell ref="HON34:HPD34"/>
    <mergeCell ref="HPE34:HPU34"/>
    <mergeCell ref="HJH34:HJX34"/>
    <mergeCell ref="HJY34:HKO34"/>
    <mergeCell ref="HKP34:HLF34"/>
    <mergeCell ref="HLG34:HLW34"/>
    <mergeCell ref="HLX34:HMN34"/>
    <mergeCell ref="HGA34:HGQ34"/>
    <mergeCell ref="HGR34:HHH34"/>
    <mergeCell ref="HHI34:HHY34"/>
    <mergeCell ref="HHZ34:HIP34"/>
    <mergeCell ref="HIQ34:HJG34"/>
    <mergeCell ref="HCT34:HDJ34"/>
    <mergeCell ref="HDK34:HEA34"/>
    <mergeCell ref="HEB34:HER34"/>
    <mergeCell ref="HES34:HFI34"/>
    <mergeCell ref="HFJ34:HFZ34"/>
    <mergeCell ref="GZM34:HAC34"/>
    <mergeCell ref="HAD34:HAT34"/>
    <mergeCell ref="HAU34:HBK34"/>
    <mergeCell ref="HBL34:HCB34"/>
    <mergeCell ref="HCC34:HCS34"/>
    <mergeCell ref="GWF34:GWV34"/>
    <mergeCell ref="GWW34:GXM34"/>
    <mergeCell ref="GXN34:GYD34"/>
    <mergeCell ref="GYE34:GYU34"/>
    <mergeCell ref="GYV34:GZL34"/>
    <mergeCell ref="GSY34:GTO34"/>
    <mergeCell ref="GTP34:GUF34"/>
    <mergeCell ref="GUG34:GUW34"/>
    <mergeCell ref="GUX34:GVN34"/>
    <mergeCell ref="GVO34:GWE34"/>
    <mergeCell ref="GPR34:GQH34"/>
    <mergeCell ref="GQI34:GQY34"/>
    <mergeCell ref="GQZ34:GRP34"/>
    <mergeCell ref="GRQ34:GSG34"/>
    <mergeCell ref="GSH34:GSX34"/>
    <mergeCell ref="GMK34:GNA34"/>
    <mergeCell ref="GNB34:GNR34"/>
    <mergeCell ref="GNS34:GOI34"/>
    <mergeCell ref="GOJ34:GOZ34"/>
    <mergeCell ref="GPA34:GPQ34"/>
    <mergeCell ref="GJD34:GJT34"/>
    <mergeCell ref="GJU34:GKK34"/>
    <mergeCell ref="GKL34:GLB34"/>
    <mergeCell ref="GLC34:GLS34"/>
    <mergeCell ref="GLT34:GMJ34"/>
    <mergeCell ref="GFW34:GGM34"/>
    <mergeCell ref="GGN34:GHD34"/>
    <mergeCell ref="GHE34:GHU34"/>
    <mergeCell ref="GHV34:GIL34"/>
    <mergeCell ref="GIM34:GJC34"/>
    <mergeCell ref="GCP34:GDF34"/>
    <mergeCell ref="GDG34:GDW34"/>
    <mergeCell ref="GDX34:GEN34"/>
    <mergeCell ref="GEO34:GFE34"/>
    <mergeCell ref="GFF34:GFV34"/>
    <mergeCell ref="FZI34:FZY34"/>
    <mergeCell ref="FZZ34:GAP34"/>
    <mergeCell ref="GAQ34:GBG34"/>
    <mergeCell ref="GBH34:GBX34"/>
    <mergeCell ref="GBY34:GCO34"/>
    <mergeCell ref="FWB34:FWR34"/>
    <mergeCell ref="FWS34:FXI34"/>
    <mergeCell ref="FXJ34:FXZ34"/>
    <mergeCell ref="FYA34:FYQ34"/>
    <mergeCell ref="FYR34:FZH34"/>
    <mergeCell ref="FSU34:FTK34"/>
    <mergeCell ref="FTL34:FUB34"/>
    <mergeCell ref="FUC34:FUS34"/>
    <mergeCell ref="FUT34:FVJ34"/>
    <mergeCell ref="FVK34:FWA34"/>
    <mergeCell ref="FPN34:FQD34"/>
    <mergeCell ref="FQE34:FQU34"/>
    <mergeCell ref="FQV34:FRL34"/>
    <mergeCell ref="FRM34:FSC34"/>
    <mergeCell ref="FSD34:FST34"/>
    <mergeCell ref="FMG34:FMW34"/>
    <mergeCell ref="FMX34:FNN34"/>
    <mergeCell ref="FNO34:FOE34"/>
    <mergeCell ref="FOF34:FOV34"/>
    <mergeCell ref="FOW34:FPM34"/>
    <mergeCell ref="FIZ34:FJP34"/>
    <mergeCell ref="FJQ34:FKG34"/>
    <mergeCell ref="FKH34:FKX34"/>
    <mergeCell ref="FKY34:FLO34"/>
    <mergeCell ref="FLP34:FMF34"/>
    <mergeCell ref="FFS34:FGI34"/>
    <mergeCell ref="FGJ34:FGZ34"/>
    <mergeCell ref="FHA34:FHQ34"/>
    <mergeCell ref="FHR34:FIH34"/>
    <mergeCell ref="FII34:FIY34"/>
    <mergeCell ref="FCL34:FDB34"/>
    <mergeCell ref="FDC34:FDS34"/>
    <mergeCell ref="FDT34:FEJ34"/>
    <mergeCell ref="FEK34:FFA34"/>
    <mergeCell ref="FFB34:FFR34"/>
    <mergeCell ref="EZE34:EZU34"/>
    <mergeCell ref="EZV34:FAL34"/>
    <mergeCell ref="FAM34:FBC34"/>
    <mergeCell ref="FBD34:FBT34"/>
    <mergeCell ref="FBU34:FCK34"/>
    <mergeCell ref="EVX34:EWN34"/>
    <mergeCell ref="EWO34:EXE34"/>
    <mergeCell ref="EXF34:EXV34"/>
    <mergeCell ref="EXW34:EYM34"/>
    <mergeCell ref="EYN34:EZD34"/>
    <mergeCell ref="ESQ34:ETG34"/>
    <mergeCell ref="ETH34:ETX34"/>
    <mergeCell ref="ETY34:EUO34"/>
    <mergeCell ref="EUP34:EVF34"/>
    <mergeCell ref="EVG34:EVW34"/>
    <mergeCell ref="EPJ34:EPZ34"/>
    <mergeCell ref="EQA34:EQQ34"/>
    <mergeCell ref="EQR34:ERH34"/>
    <mergeCell ref="ERI34:ERY34"/>
    <mergeCell ref="ERZ34:ESP34"/>
    <mergeCell ref="EMC34:EMS34"/>
    <mergeCell ref="EMT34:ENJ34"/>
    <mergeCell ref="ENK34:EOA34"/>
    <mergeCell ref="EOB34:EOR34"/>
    <mergeCell ref="EOS34:EPI34"/>
    <mergeCell ref="EIV34:EJL34"/>
    <mergeCell ref="EJM34:EKC34"/>
    <mergeCell ref="EKD34:EKT34"/>
    <mergeCell ref="EKU34:ELK34"/>
    <mergeCell ref="ELL34:EMB34"/>
    <mergeCell ref="EFO34:EGE34"/>
    <mergeCell ref="EGF34:EGV34"/>
    <mergeCell ref="EGW34:EHM34"/>
    <mergeCell ref="EHN34:EID34"/>
    <mergeCell ref="EIE34:EIU34"/>
    <mergeCell ref="ECH34:ECX34"/>
    <mergeCell ref="ECY34:EDO34"/>
    <mergeCell ref="EDP34:EEF34"/>
    <mergeCell ref="EEG34:EEW34"/>
    <mergeCell ref="EEX34:EFN34"/>
    <mergeCell ref="DZA34:DZQ34"/>
    <mergeCell ref="DZR34:EAH34"/>
    <mergeCell ref="EAI34:EAY34"/>
    <mergeCell ref="EAZ34:EBP34"/>
    <mergeCell ref="EBQ34:ECG34"/>
    <mergeCell ref="DVT34:DWJ34"/>
    <mergeCell ref="DWK34:DXA34"/>
    <mergeCell ref="DXB34:DXR34"/>
    <mergeCell ref="DXS34:DYI34"/>
    <mergeCell ref="DYJ34:DYZ34"/>
    <mergeCell ref="DSM34:DTC34"/>
    <mergeCell ref="DTD34:DTT34"/>
    <mergeCell ref="DTU34:DUK34"/>
    <mergeCell ref="DUL34:DVB34"/>
    <mergeCell ref="DVC34:DVS34"/>
    <mergeCell ref="DPF34:DPV34"/>
    <mergeCell ref="DPW34:DQM34"/>
    <mergeCell ref="DQN34:DRD34"/>
    <mergeCell ref="DRE34:DRU34"/>
    <mergeCell ref="DRV34:DSL34"/>
    <mergeCell ref="DLY34:DMO34"/>
    <mergeCell ref="DMP34:DNF34"/>
    <mergeCell ref="DNG34:DNW34"/>
    <mergeCell ref="DNX34:DON34"/>
    <mergeCell ref="DOO34:DPE34"/>
    <mergeCell ref="DIR34:DJH34"/>
    <mergeCell ref="DJI34:DJY34"/>
    <mergeCell ref="DJZ34:DKP34"/>
    <mergeCell ref="DKQ34:DLG34"/>
    <mergeCell ref="DLH34:DLX34"/>
    <mergeCell ref="DFK34:DGA34"/>
    <mergeCell ref="DGB34:DGR34"/>
    <mergeCell ref="DGS34:DHI34"/>
    <mergeCell ref="DHJ34:DHZ34"/>
    <mergeCell ref="DIA34:DIQ34"/>
    <mergeCell ref="DCD34:DCT34"/>
    <mergeCell ref="DCU34:DDK34"/>
    <mergeCell ref="DDL34:DEB34"/>
    <mergeCell ref="DEC34:DES34"/>
    <mergeCell ref="DET34:DFJ34"/>
    <mergeCell ref="CYW34:CZM34"/>
    <mergeCell ref="CZN34:DAD34"/>
    <mergeCell ref="DAE34:DAU34"/>
    <mergeCell ref="DAV34:DBL34"/>
    <mergeCell ref="DBM34:DCC34"/>
    <mergeCell ref="CVP34:CWF34"/>
    <mergeCell ref="CWG34:CWW34"/>
    <mergeCell ref="CWX34:CXN34"/>
    <mergeCell ref="CXO34:CYE34"/>
    <mergeCell ref="CYF34:CYV34"/>
    <mergeCell ref="CSI34:CSY34"/>
    <mergeCell ref="CSZ34:CTP34"/>
    <mergeCell ref="CTQ34:CUG34"/>
    <mergeCell ref="CUH34:CUX34"/>
    <mergeCell ref="CUY34:CVO34"/>
    <mergeCell ref="CPB34:CPR34"/>
    <mergeCell ref="CPS34:CQI34"/>
    <mergeCell ref="CQJ34:CQZ34"/>
    <mergeCell ref="CRA34:CRQ34"/>
    <mergeCell ref="CRR34:CSH34"/>
    <mergeCell ref="CLU34:CMK34"/>
    <mergeCell ref="CML34:CNB34"/>
    <mergeCell ref="CNC34:CNS34"/>
    <mergeCell ref="CNT34:COJ34"/>
    <mergeCell ref="COK34:CPA34"/>
    <mergeCell ref="CIN34:CJD34"/>
    <mergeCell ref="CJE34:CJU34"/>
    <mergeCell ref="CJV34:CKL34"/>
    <mergeCell ref="CKM34:CLC34"/>
    <mergeCell ref="CLD34:CLT34"/>
    <mergeCell ref="CFG34:CFW34"/>
    <mergeCell ref="CFX34:CGN34"/>
    <mergeCell ref="CGO34:CHE34"/>
    <mergeCell ref="CHF34:CHV34"/>
    <mergeCell ref="CHW34:CIM34"/>
    <mergeCell ref="CBZ34:CCP34"/>
    <mergeCell ref="CCQ34:CDG34"/>
    <mergeCell ref="CDH34:CDX34"/>
    <mergeCell ref="CDY34:CEO34"/>
    <mergeCell ref="CEP34:CFF34"/>
    <mergeCell ref="BYS34:BZI34"/>
    <mergeCell ref="BZJ34:BZZ34"/>
    <mergeCell ref="CAA34:CAQ34"/>
    <mergeCell ref="CAR34:CBH34"/>
    <mergeCell ref="CBI34:CBY34"/>
    <mergeCell ref="BVL34:BWB34"/>
    <mergeCell ref="BWC34:BWS34"/>
    <mergeCell ref="BWT34:BXJ34"/>
    <mergeCell ref="BXK34:BYA34"/>
    <mergeCell ref="BYB34:BYR34"/>
    <mergeCell ref="BSE34:BSU34"/>
    <mergeCell ref="BSV34:BTL34"/>
    <mergeCell ref="BTM34:BUC34"/>
    <mergeCell ref="BUD34:BUT34"/>
    <mergeCell ref="BUU34:BVK34"/>
    <mergeCell ref="BOX34:BPN34"/>
    <mergeCell ref="BPO34:BQE34"/>
    <mergeCell ref="BQF34:BQV34"/>
    <mergeCell ref="BQW34:BRM34"/>
    <mergeCell ref="BRN34:BSD34"/>
    <mergeCell ref="BLQ34:BMG34"/>
    <mergeCell ref="BMH34:BMX34"/>
    <mergeCell ref="BMY34:BNO34"/>
    <mergeCell ref="BNP34:BOF34"/>
    <mergeCell ref="BOG34:BOW34"/>
    <mergeCell ref="BIJ34:BIZ34"/>
    <mergeCell ref="BJA34:BJQ34"/>
    <mergeCell ref="BJR34:BKH34"/>
    <mergeCell ref="BKI34:BKY34"/>
    <mergeCell ref="BKZ34:BLP34"/>
    <mergeCell ref="BFC34:BFS34"/>
    <mergeCell ref="BFT34:BGJ34"/>
    <mergeCell ref="BGK34:BHA34"/>
    <mergeCell ref="BHB34:BHR34"/>
    <mergeCell ref="BHS34:BII34"/>
    <mergeCell ref="BBV34:BCL34"/>
    <mergeCell ref="BCM34:BDC34"/>
    <mergeCell ref="BDD34:BDT34"/>
    <mergeCell ref="BDU34:BEK34"/>
    <mergeCell ref="BEL34:BFB34"/>
    <mergeCell ref="AYO34:AZE34"/>
    <mergeCell ref="AZF34:AZV34"/>
    <mergeCell ref="AZW34:BAM34"/>
    <mergeCell ref="BAN34:BBD34"/>
    <mergeCell ref="BBE34:BBU34"/>
    <mergeCell ref="AVH34:AVX34"/>
    <mergeCell ref="AVY34:AWO34"/>
    <mergeCell ref="AWP34:AXF34"/>
    <mergeCell ref="AXG34:AXW34"/>
    <mergeCell ref="AXX34:AYN34"/>
    <mergeCell ref="ASA34:ASQ34"/>
    <mergeCell ref="ASR34:ATH34"/>
    <mergeCell ref="ATI34:ATY34"/>
    <mergeCell ref="ATZ34:AUP34"/>
    <mergeCell ref="AUQ34:AVG34"/>
    <mergeCell ref="AOT34:APJ34"/>
    <mergeCell ref="APK34:AQA34"/>
    <mergeCell ref="AQB34:AQR34"/>
    <mergeCell ref="AQS34:ARI34"/>
    <mergeCell ref="ARJ34:ARZ34"/>
    <mergeCell ref="ALM34:AMC34"/>
    <mergeCell ref="AMD34:AMT34"/>
    <mergeCell ref="AMU34:ANK34"/>
    <mergeCell ref="ANL34:AOB34"/>
    <mergeCell ref="AOC34:AOS34"/>
    <mergeCell ref="AIF34:AIV34"/>
    <mergeCell ref="AIW34:AJM34"/>
    <mergeCell ref="AJN34:AKD34"/>
    <mergeCell ref="AKE34:AKU34"/>
    <mergeCell ref="AKV34:ALL34"/>
    <mergeCell ref="AEY34:AFO34"/>
    <mergeCell ref="AFP34:AGF34"/>
    <mergeCell ref="AGG34:AGW34"/>
    <mergeCell ref="AGX34:AHN34"/>
    <mergeCell ref="AHO34:AIE34"/>
    <mergeCell ref="ABR34:ACH34"/>
    <mergeCell ref="ACI34:ACY34"/>
    <mergeCell ref="ACZ34:ADP34"/>
    <mergeCell ref="ADQ34:AEG34"/>
    <mergeCell ref="AEH34:AEX34"/>
    <mergeCell ref="YK34:ZA34"/>
    <mergeCell ref="ZB34:ZR34"/>
    <mergeCell ref="ZS34:AAI34"/>
    <mergeCell ref="AAJ34:AAZ34"/>
    <mergeCell ref="ABA34:ABQ34"/>
    <mergeCell ref="VD34:VT34"/>
    <mergeCell ref="VU34:WK34"/>
    <mergeCell ref="WL34:XB34"/>
    <mergeCell ref="XC34:XS34"/>
    <mergeCell ref="XT34:YJ34"/>
    <mergeCell ref="RW34:SM34"/>
    <mergeCell ref="SN34:TD34"/>
    <mergeCell ref="TE34:TU34"/>
    <mergeCell ref="TV34:UL34"/>
    <mergeCell ref="UM34:VC34"/>
    <mergeCell ref="OP34:PF34"/>
    <mergeCell ref="PG34:PW34"/>
    <mergeCell ref="PX34:QN34"/>
    <mergeCell ref="QO34:RE34"/>
    <mergeCell ref="RF34:RV34"/>
    <mergeCell ref="LI34:LY34"/>
    <mergeCell ref="LZ34:MP34"/>
    <mergeCell ref="MQ34:NG34"/>
    <mergeCell ref="NH34:NX34"/>
    <mergeCell ref="NY34:OO34"/>
    <mergeCell ref="IB34:IR34"/>
    <mergeCell ref="IS34:JI34"/>
    <mergeCell ref="JJ34:JZ34"/>
    <mergeCell ref="KA34:KQ34"/>
    <mergeCell ref="KR34:LH34"/>
    <mergeCell ref="EU34:FK34"/>
    <mergeCell ref="FL34:GB34"/>
    <mergeCell ref="GC34:GS34"/>
    <mergeCell ref="GT34:HJ34"/>
    <mergeCell ref="HK34:IA34"/>
    <mergeCell ref="BN34:CD34"/>
    <mergeCell ref="CE34:CU34"/>
    <mergeCell ref="CV34:DL34"/>
    <mergeCell ref="DM34:EC34"/>
    <mergeCell ref="ED34:ET34"/>
    <mergeCell ref="S34:AG34"/>
    <mergeCell ref="AX34:BM34"/>
    <mergeCell ref="AM2:AQ2"/>
    <mergeCell ref="AG2:AK2"/>
    <mergeCell ref="A39:N39"/>
    <mergeCell ref="C2:G2"/>
    <mergeCell ref="H2:L2"/>
    <mergeCell ref="M2:Q2"/>
    <mergeCell ref="AB2:AF2"/>
    <mergeCell ref="R2:V2"/>
    <mergeCell ref="W2:AA2"/>
    <mergeCell ref="S35:AG35"/>
    <mergeCell ref="AR2:AV2"/>
    <mergeCell ref="AW2:BA2"/>
    <mergeCell ref="BB2:BF2"/>
    <mergeCell ref="AG3:AK3"/>
    <mergeCell ref="AM3:AQ3"/>
    <mergeCell ref="AR3:AV3"/>
    <mergeCell ref="AW3:BA3"/>
    <mergeCell ref="BB3:BF3"/>
  </mergeCells>
  <pageMargins left="0.70866141732283472" right="0.70866141732283472" top="0.74803149606299213" bottom="0.74803149606299213" header="0.31496062992125984" footer="0.31496062992125984"/>
  <pageSetup paperSize="9" scale="57" orientation="landscape" r:id="rId1"/>
  <ignoredErrors>
    <ignoredError sqref="AA15:AA16 AA6:AA9 AA21:AA23 AA26 AA17:AA19 AA11:AA14 AB10:AD10 C10:F10 H10:K10 M10:P10 R10:Z10 AG10:AI10 AM10:AO10 AJ10 AP10 AR10:AU10 AW10:AZ10 BB10" formulaRange="1"/>
    <ignoredError sqref="AA20 AA27 Y30:Z30 G10 G20 L10 L20 Q10 Q20 AA10 X30 AF20 AF27 AF10 AK25 AK27 AQ25 AQ27 AV25:AV27 BA25:BA27 BB25" formula="1"/>
    <ignoredError sqref="AE10 AQ10 AK10 AV10 BA10" formula="1" formulaRange="1"/>
    <ignoredError sqref="AP32 AJ32" evalError="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SE731"/>
  <sheetViews>
    <sheetView showGridLines="0" zoomScaleNormal="100" zoomScaleSheetLayoutView="100" workbookViewId="0">
      <pane xSplit="2" topLeftCell="H1" activePane="topRight" state="frozen"/>
      <selection activeCell="B1" sqref="B1"/>
      <selection pane="topRight" activeCell="J24" sqref="J24"/>
    </sheetView>
  </sheetViews>
  <sheetFormatPr defaultColWidth="9" defaultRowHeight="15"/>
  <cols>
    <col min="1" max="1" width="43.125" style="375" customWidth="1"/>
    <col min="2" max="2" width="40.875" style="375" customWidth="1"/>
    <col min="3" max="3" width="13.125" style="375" customWidth="1"/>
    <col min="4" max="4" width="2.375" style="375" customWidth="1"/>
    <col min="5" max="5" width="13.125" style="375" customWidth="1"/>
    <col min="6" max="6" width="1.625" style="375" customWidth="1"/>
    <col min="7" max="7" width="9.625" style="375" customWidth="1"/>
    <col min="8" max="8" width="13.125" style="375" customWidth="1"/>
    <col min="9" max="9" width="1.875" style="375" customWidth="1"/>
    <col min="10" max="10" width="13.125" style="375" customWidth="1"/>
    <col min="11" max="11" width="1.875" style="375" customWidth="1"/>
    <col min="12" max="12" width="9.625" style="375" customWidth="1"/>
    <col min="13" max="13" width="13.125" style="375" customWidth="1"/>
    <col min="14" max="14" width="1.875" style="375" customWidth="1"/>
    <col min="15" max="15" width="13.125" style="375" customWidth="1"/>
    <col min="16" max="16" width="1.875" style="375" customWidth="1"/>
    <col min="17" max="17" width="9.625" style="375" customWidth="1"/>
    <col min="18" max="18" width="13.125" style="375" customWidth="1"/>
    <col min="19" max="19" width="1.875" style="375" customWidth="1"/>
    <col min="20" max="20" width="13.125" style="375" customWidth="1"/>
    <col min="21" max="21" width="1.875" style="375" customWidth="1"/>
    <col min="22" max="22" width="9.625" style="375" customWidth="1"/>
    <col min="23" max="24" width="9" style="537"/>
    <col min="25" max="499" width="9" style="374"/>
    <col min="500" max="16384" width="9" style="375"/>
  </cols>
  <sheetData>
    <row r="1" spans="1:499" ht="50.25" customHeight="1" thickBot="1">
      <c r="A1" s="3" t="s">
        <v>150</v>
      </c>
      <c r="B1" s="3"/>
      <c r="C1" s="374"/>
      <c r="D1" s="374"/>
      <c r="E1" s="374"/>
      <c r="F1" s="374"/>
      <c r="G1" s="548"/>
      <c r="H1" s="374"/>
      <c r="I1" s="374"/>
      <c r="J1" s="374"/>
      <c r="K1" s="374"/>
      <c r="L1" s="374"/>
      <c r="M1" s="374"/>
      <c r="N1" s="374"/>
      <c r="O1" s="374"/>
      <c r="P1" s="374"/>
      <c r="Q1" s="374"/>
      <c r="R1" s="374"/>
      <c r="S1" s="374"/>
      <c r="T1" s="374"/>
      <c r="U1" s="374"/>
      <c r="V1" s="374"/>
    </row>
    <row r="2" spans="1:499" s="377" customFormat="1" ht="30" customHeight="1">
      <c r="A2" s="658"/>
      <c r="B2" s="658"/>
      <c r="C2" s="733" t="s">
        <v>101</v>
      </c>
      <c r="D2" s="734"/>
      <c r="E2" s="734"/>
      <c r="F2" s="734"/>
      <c r="G2" s="735"/>
      <c r="H2" s="733" t="s">
        <v>102</v>
      </c>
      <c r="I2" s="734"/>
      <c r="J2" s="734"/>
      <c r="K2" s="734"/>
      <c r="L2" s="735"/>
      <c r="M2" s="733" t="s">
        <v>103</v>
      </c>
      <c r="N2" s="734"/>
      <c r="O2" s="734"/>
      <c r="P2" s="734"/>
      <c r="Q2" s="735"/>
      <c r="R2" s="733" t="s">
        <v>104</v>
      </c>
      <c r="S2" s="734"/>
      <c r="T2" s="734"/>
      <c r="U2" s="734"/>
      <c r="V2" s="735"/>
      <c r="W2" s="538"/>
      <c r="X2" s="538"/>
      <c r="Y2" s="376"/>
      <c r="Z2" s="376"/>
      <c r="AA2" s="376"/>
      <c r="AB2" s="376"/>
      <c r="AC2" s="376"/>
      <c r="AD2" s="376"/>
      <c r="AE2" s="376"/>
      <c r="AF2" s="376"/>
      <c r="AG2" s="376"/>
      <c r="AH2" s="376"/>
      <c r="AI2" s="376"/>
      <c r="AJ2" s="376"/>
      <c r="AK2" s="376"/>
      <c r="AL2" s="376"/>
      <c r="AM2" s="376"/>
      <c r="AN2" s="376"/>
      <c r="AO2" s="376"/>
      <c r="AP2" s="376"/>
      <c r="AQ2" s="376"/>
      <c r="AR2" s="376"/>
      <c r="AS2" s="376"/>
      <c r="AT2" s="376"/>
      <c r="AU2" s="376"/>
      <c r="AV2" s="376"/>
      <c r="AW2" s="376"/>
      <c r="AX2" s="376"/>
      <c r="AY2" s="376"/>
      <c r="AZ2" s="376"/>
      <c r="BA2" s="376"/>
      <c r="BB2" s="376"/>
      <c r="BC2" s="376"/>
      <c r="BD2" s="376"/>
      <c r="BE2" s="376"/>
      <c r="BF2" s="376"/>
      <c r="BG2" s="376"/>
      <c r="BH2" s="376"/>
      <c r="BI2" s="376"/>
      <c r="BJ2" s="376"/>
      <c r="BK2" s="376"/>
      <c r="BL2" s="376"/>
      <c r="BM2" s="376"/>
      <c r="BN2" s="376"/>
      <c r="BO2" s="376"/>
      <c r="BP2" s="376"/>
      <c r="BQ2" s="376"/>
      <c r="BR2" s="376"/>
      <c r="BS2" s="376"/>
      <c r="BT2" s="376"/>
      <c r="BU2" s="376"/>
      <c r="BV2" s="376"/>
      <c r="BW2" s="376"/>
      <c r="BX2" s="376"/>
      <c r="BY2" s="376"/>
      <c r="BZ2" s="376"/>
      <c r="CA2" s="376"/>
      <c r="CB2" s="376"/>
      <c r="CC2" s="376"/>
      <c r="CD2" s="376"/>
      <c r="CE2" s="376"/>
      <c r="CF2" s="376"/>
      <c r="CG2" s="376"/>
      <c r="CH2" s="376"/>
      <c r="CI2" s="376"/>
      <c r="CJ2" s="376"/>
      <c r="CK2" s="376"/>
      <c r="CL2" s="376"/>
      <c r="CM2" s="376"/>
      <c r="CN2" s="376"/>
      <c r="CO2" s="376"/>
      <c r="CP2" s="376"/>
      <c r="CQ2" s="376"/>
      <c r="CR2" s="376"/>
      <c r="CS2" s="376"/>
      <c r="CT2" s="376"/>
      <c r="CU2" s="376"/>
      <c r="CV2" s="376"/>
      <c r="CW2" s="376"/>
      <c r="CX2" s="376"/>
      <c r="CY2" s="376"/>
      <c r="CZ2" s="376"/>
      <c r="DA2" s="376"/>
      <c r="DB2" s="376"/>
      <c r="DC2" s="376"/>
      <c r="DD2" s="376"/>
      <c r="DE2" s="376"/>
      <c r="DF2" s="376"/>
      <c r="DG2" s="376"/>
      <c r="DH2" s="376"/>
      <c r="DI2" s="376"/>
      <c r="DJ2" s="376"/>
      <c r="DK2" s="376"/>
      <c r="DL2" s="376"/>
      <c r="DM2" s="376"/>
      <c r="DN2" s="376"/>
      <c r="DO2" s="376"/>
      <c r="DP2" s="376"/>
      <c r="DQ2" s="376"/>
      <c r="DR2" s="376"/>
      <c r="DS2" s="376"/>
      <c r="DT2" s="376"/>
      <c r="DU2" s="376"/>
      <c r="DV2" s="376"/>
      <c r="DW2" s="376"/>
      <c r="DX2" s="376"/>
      <c r="DY2" s="376"/>
      <c r="DZ2" s="376"/>
      <c r="EA2" s="376"/>
      <c r="EB2" s="376"/>
      <c r="EC2" s="376"/>
      <c r="ED2" s="376"/>
      <c r="EE2" s="376"/>
      <c r="EF2" s="376"/>
      <c r="EG2" s="376"/>
      <c r="EH2" s="376"/>
      <c r="EI2" s="376"/>
      <c r="EJ2" s="376"/>
      <c r="EK2" s="376"/>
      <c r="EL2" s="376"/>
      <c r="EM2" s="376"/>
      <c r="EN2" s="376"/>
      <c r="EO2" s="376"/>
      <c r="EP2" s="376"/>
      <c r="EQ2" s="376"/>
      <c r="ER2" s="376"/>
      <c r="ES2" s="376"/>
      <c r="ET2" s="376"/>
      <c r="EU2" s="376"/>
      <c r="EV2" s="376"/>
      <c r="EW2" s="376"/>
      <c r="EX2" s="376"/>
      <c r="EY2" s="376"/>
      <c r="EZ2" s="376"/>
      <c r="FA2" s="376"/>
      <c r="FB2" s="376"/>
      <c r="FC2" s="376"/>
      <c r="FD2" s="376"/>
      <c r="FE2" s="376"/>
      <c r="FF2" s="376"/>
      <c r="FG2" s="376"/>
      <c r="FH2" s="376"/>
      <c r="FI2" s="376"/>
      <c r="FJ2" s="376"/>
      <c r="FK2" s="376"/>
      <c r="FL2" s="376"/>
      <c r="FM2" s="376"/>
      <c r="FN2" s="376"/>
      <c r="FO2" s="376"/>
      <c r="FP2" s="376"/>
      <c r="FQ2" s="376"/>
      <c r="FR2" s="376"/>
      <c r="FS2" s="376"/>
      <c r="FT2" s="376"/>
      <c r="FU2" s="376"/>
      <c r="FV2" s="376"/>
      <c r="FW2" s="376"/>
      <c r="FX2" s="376"/>
      <c r="FY2" s="376"/>
      <c r="FZ2" s="376"/>
      <c r="GA2" s="376"/>
      <c r="GB2" s="376"/>
      <c r="GC2" s="376"/>
      <c r="GD2" s="376"/>
      <c r="GE2" s="376"/>
      <c r="GF2" s="376"/>
      <c r="GG2" s="376"/>
      <c r="GH2" s="376"/>
      <c r="GI2" s="376"/>
      <c r="GJ2" s="376"/>
      <c r="GK2" s="376"/>
      <c r="GL2" s="376"/>
      <c r="GM2" s="376"/>
      <c r="GN2" s="376"/>
      <c r="GO2" s="376"/>
      <c r="GP2" s="376"/>
      <c r="GQ2" s="376"/>
      <c r="GR2" s="376"/>
      <c r="GS2" s="376"/>
      <c r="GT2" s="376"/>
      <c r="GU2" s="376"/>
      <c r="GV2" s="376"/>
      <c r="GW2" s="376"/>
      <c r="GX2" s="376"/>
      <c r="GY2" s="376"/>
      <c r="GZ2" s="376"/>
      <c r="HA2" s="376"/>
      <c r="HB2" s="376"/>
      <c r="HC2" s="376"/>
      <c r="HD2" s="376"/>
      <c r="HE2" s="376"/>
      <c r="HF2" s="376"/>
      <c r="HG2" s="376"/>
      <c r="HH2" s="376"/>
      <c r="HI2" s="376"/>
      <c r="HJ2" s="376"/>
      <c r="HK2" s="376"/>
      <c r="HL2" s="376"/>
      <c r="HM2" s="376"/>
      <c r="HN2" s="376"/>
      <c r="HO2" s="376"/>
      <c r="HP2" s="376"/>
      <c r="HQ2" s="376"/>
      <c r="HR2" s="376"/>
      <c r="HS2" s="376"/>
      <c r="HT2" s="376"/>
      <c r="HU2" s="376"/>
      <c r="HV2" s="376"/>
      <c r="HW2" s="376"/>
      <c r="HX2" s="376"/>
      <c r="HY2" s="376"/>
      <c r="HZ2" s="376"/>
      <c r="IA2" s="376"/>
      <c r="IB2" s="376"/>
      <c r="IC2" s="376"/>
      <c r="ID2" s="376"/>
      <c r="IE2" s="376"/>
      <c r="IF2" s="376"/>
      <c r="IG2" s="376"/>
      <c r="IH2" s="376"/>
      <c r="II2" s="376"/>
      <c r="IJ2" s="376"/>
      <c r="IK2" s="376"/>
      <c r="IL2" s="376"/>
      <c r="IM2" s="376"/>
      <c r="IN2" s="376"/>
      <c r="IO2" s="376"/>
      <c r="IP2" s="376"/>
      <c r="IQ2" s="376"/>
      <c r="IR2" s="376"/>
      <c r="IS2" s="376"/>
      <c r="IT2" s="376"/>
      <c r="IU2" s="376"/>
      <c r="IV2" s="376"/>
      <c r="IW2" s="376"/>
      <c r="IX2" s="376"/>
      <c r="IY2" s="376"/>
      <c r="IZ2" s="376"/>
      <c r="JA2" s="376"/>
      <c r="JB2" s="376"/>
      <c r="JC2" s="376"/>
      <c r="JD2" s="376"/>
      <c r="JE2" s="376"/>
      <c r="JF2" s="376"/>
      <c r="JG2" s="376"/>
      <c r="JH2" s="376"/>
      <c r="JI2" s="376"/>
      <c r="JJ2" s="376"/>
      <c r="JK2" s="376"/>
      <c r="JL2" s="376"/>
      <c r="JM2" s="376"/>
      <c r="JN2" s="376"/>
      <c r="JO2" s="376"/>
      <c r="JP2" s="376"/>
      <c r="JQ2" s="376"/>
      <c r="JR2" s="376"/>
      <c r="JS2" s="376"/>
      <c r="JT2" s="376"/>
      <c r="JU2" s="376"/>
      <c r="JV2" s="376"/>
      <c r="JW2" s="376"/>
      <c r="JX2" s="376"/>
      <c r="JY2" s="376"/>
      <c r="JZ2" s="376"/>
      <c r="KA2" s="376"/>
      <c r="KB2" s="376"/>
      <c r="KC2" s="376"/>
      <c r="KD2" s="376"/>
      <c r="KE2" s="376"/>
      <c r="KF2" s="376"/>
      <c r="KG2" s="376"/>
      <c r="KH2" s="376"/>
      <c r="KI2" s="376"/>
      <c r="KJ2" s="376"/>
      <c r="KK2" s="376"/>
      <c r="KL2" s="376"/>
      <c r="KM2" s="376"/>
      <c r="KN2" s="376"/>
      <c r="KO2" s="376"/>
      <c r="KP2" s="376"/>
      <c r="KQ2" s="376"/>
      <c r="KR2" s="376"/>
      <c r="KS2" s="376"/>
      <c r="KT2" s="376"/>
      <c r="KU2" s="376"/>
      <c r="KV2" s="376"/>
      <c r="KW2" s="376"/>
      <c r="KX2" s="376"/>
      <c r="KY2" s="376"/>
      <c r="KZ2" s="376"/>
      <c r="LA2" s="376"/>
      <c r="LB2" s="376"/>
      <c r="LC2" s="376"/>
      <c r="LD2" s="376"/>
      <c r="LE2" s="376"/>
      <c r="LF2" s="376"/>
      <c r="LG2" s="376"/>
      <c r="LH2" s="376"/>
      <c r="LI2" s="376"/>
      <c r="LJ2" s="376"/>
      <c r="LK2" s="376"/>
      <c r="LL2" s="376"/>
      <c r="LM2" s="376"/>
      <c r="LN2" s="376"/>
      <c r="LO2" s="376"/>
      <c r="LP2" s="376"/>
      <c r="LQ2" s="376"/>
      <c r="LR2" s="376"/>
      <c r="LS2" s="376"/>
      <c r="LT2" s="376"/>
      <c r="LU2" s="376"/>
      <c r="LV2" s="376"/>
      <c r="LW2" s="376"/>
      <c r="LX2" s="376"/>
      <c r="LY2" s="376"/>
      <c r="LZ2" s="376"/>
      <c r="MA2" s="376"/>
      <c r="MB2" s="376"/>
      <c r="MC2" s="376"/>
      <c r="MD2" s="376"/>
      <c r="ME2" s="376"/>
      <c r="MF2" s="376"/>
      <c r="MG2" s="376"/>
      <c r="MH2" s="376"/>
      <c r="MI2" s="376"/>
      <c r="MJ2" s="376"/>
      <c r="MK2" s="376"/>
      <c r="ML2" s="376"/>
      <c r="MM2" s="376"/>
      <c r="MN2" s="376"/>
      <c r="MO2" s="376"/>
      <c r="MP2" s="376"/>
      <c r="MQ2" s="376"/>
      <c r="MR2" s="376"/>
      <c r="MS2" s="376"/>
      <c r="MT2" s="376"/>
      <c r="MU2" s="376"/>
      <c r="MV2" s="376"/>
      <c r="MW2" s="376"/>
      <c r="MX2" s="376"/>
      <c r="MY2" s="376"/>
      <c r="MZ2" s="376"/>
      <c r="NA2" s="376"/>
      <c r="NB2" s="376"/>
      <c r="NC2" s="376"/>
      <c r="ND2" s="376"/>
      <c r="NE2" s="376"/>
      <c r="NF2" s="376"/>
      <c r="NG2" s="376"/>
      <c r="NH2" s="376"/>
      <c r="NI2" s="376"/>
      <c r="NJ2" s="376"/>
      <c r="NK2" s="376"/>
      <c r="NL2" s="376"/>
      <c r="NM2" s="376"/>
      <c r="NN2" s="376"/>
      <c r="NO2" s="376"/>
      <c r="NP2" s="376"/>
      <c r="NQ2" s="376"/>
      <c r="NR2" s="376"/>
      <c r="NS2" s="376"/>
      <c r="NT2" s="376"/>
      <c r="NU2" s="376"/>
      <c r="NV2" s="376"/>
      <c r="NW2" s="376"/>
      <c r="NX2" s="376"/>
      <c r="NY2" s="376"/>
      <c r="NZ2" s="376"/>
      <c r="OA2" s="376"/>
      <c r="OB2" s="376"/>
      <c r="OC2" s="376"/>
      <c r="OD2" s="376"/>
      <c r="OE2" s="376"/>
      <c r="OF2" s="376"/>
      <c r="OG2" s="376"/>
      <c r="OH2" s="376"/>
      <c r="OI2" s="376"/>
      <c r="OJ2" s="376"/>
      <c r="OK2" s="376"/>
      <c r="OL2" s="376"/>
      <c r="OM2" s="376"/>
      <c r="ON2" s="376"/>
      <c r="OO2" s="376"/>
      <c r="OP2" s="376"/>
      <c r="OQ2" s="376"/>
      <c r="OR2" s="376"/>
      <c r="OS2" s="376"/>
      <c r="OT2" s="376"/>
      <c r="OU2" s="376"/>
      <c r="OV2" s="376"/>
      <c r="OW2" s="376"/>
      <c r="OX2" s="376"/>
      <c r="OY2" s="376"/>
      <c r="OZ2" s="376"/>
      <c r="PA2" s="376"/>
      <c r="PB2" s="376"/>
      <c r="PC2" s="376"/>
      <c r="PD2" s="376"/>
      <c r="PE2" s="376"/>
      <c r="PF2" s="376"/>
      <c r="PG2" s="376"/>
      <c r="PH2" s="376"/>
      <c r="PI2" s="376"/>
      <c r="PJ2" s="376"/>
      <c r="PK2" s="376"/>
      <c r="PL2" s="376"/>
      <c r="PM2" s="376"/>
      <c r="PN2" s="376"/>
      <c r="PO2" s="376"/>
      <c r="PP2" s="376"/>
      <c r="PQ2" s="376"/>
      <c r="PR2" s="376"/>
      <c r="PS2" s="376"/>
      <c r="PT2" s="376"/>
      <c r="PU2" s="376"/>
      <c r="PV2" s="376"/>
      <c r="PW2" s="376"/>
      <c r="PX2" s="376"/>
      <c r="PY2" s="376"/>
      <c r="PZ2" s="376"/>
      <c r="QA2" s="376"/>
      <c r="QB2" s="376"/>
      <c r="QC2" s="376"/>
      <c r="QD2" s="376"/>
      <c r="QE2" s="376"/>
      <c r="QF2" s="376"/>
      <c r="QG2" s="376"/>
      <c r="QH2" s="376"/>
      <c r="QI2" s="376"/>
      <c r="QJ2" s="376"/>
      <c r="QK2" s="376"/>
      <c r="QL2" s="376"/>
      <c r="QM2" s="376"/>
      <c r="QN2" s="376"/>
      <c r="QO2" s="376"/>
      <c r="QP2" s="376"/>
      <c r="QQ2" s="376"/>
      <c r="QR2" s="376"/>
      <c r="QS2" s="376"/>
      <c r="QT2" s="376"/>
      <c r="QU2" s="376"/>
      <c r="QV2" s="376"/>
      <c r="QW2" s="376"/>
      <c r="QX2" s="376"/>
      <c r="QY2" s="376"/>
      <c r="QZ2" s="376"/>
      <c r="RA2" s="376"/>
      <c r="RB2" s="376"/>
      <c r="RC2" s="376"/>
      <c r="RD2" s="376"/>
      <c r="RE2" s="376"/>
      <c r="RF2" s="376"/>
      <c r="RG2" s="376"/>
      <c r="RH2" s="376"/>
      <c r="RI2" s="376"/>
      <c r="RJ2" s="376"/>
      <c r="RK2" s="376"/>
      <c r="RL2" s="376"/>
      <c r="RM2" s="376"/>
      <c r="RN2" s="376"/>
      <c r="RO2" s="376"/>
      <c r="RP2" s="376"/>
      <c r="RQ2" s="376"/>
      <c r="RR2" s="376"/>
      <c r="RS2" s="376"/>
      <c r="RT2" s="376"/>
      <c r="RU2" s="376"/>
      <c r="RV2" s="376"/>
      <c r="RW2" s="376"/>
      <c r="RX2" s="376"/>
      <c r="RY2" s="376"/>
      <c r="RZ2" s="376"/>
      <c r="SA2" s="376"/>
      <c r="SB2" s="376"/>
      <c r="SC2" s="376"/>
      <c r="SD2" s="376"/>
      <c r="SE2" s="376"/>
    </row>
    <row r="3" spans="1:499" s="377" customFormat="1" ht="30" customHeight="1" thickBot="1">
      <c r="A3" s="205"/>
      <c r="B3" s="205"/>
      <c r="C3" s="736" t="s">
        <v>281</v>
      </c>
      <c r="D3" s="737"/>
      <c r="E3" s="737"/>
      <c r="F3" s="737"/>
      <c r="G3" s="738"/>
      <c r="H3" s="736" t="s">
        <v>282</v>
      </c>
      <c r="I3" s="737"/>
      <c r="J3" s="737"/>
      <c r="K3" s="737"/>
      <c r="L3" s="738"/>
      <c r="M3" s="736" t="s">
        <v>283</v>
      </c>
      <c r="N3" s="737"/>
      <c r="O3" s="737"/>
      <c r="P3" s="737"/>
      <c r="Q3" s="738"/>
      <c r="R3" s="736" t="s">
        <v>284</v>
      </c>
      <c r="S3" s="737"/>
      <c r="T3" s="737"/>
      <c r="U3" s="737"/>
      <c r="V3" s="738"/>
      <c r="W3" s="538"/>
      <c r="X3" s="538"/>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6"/>
      <c r="EB3" s="376"/>
      <c r="EC3" s="376"/>
      <c r="ED3" s="376"/>
      <c r="EE3" s="376"/>
      <c r="EF3" s="376"/>
      <c r="EG3" s="376"/>
      <c r="EH3" s="376"/>
      <c r="EI3" s="376"/>
      <c r="EJ3" s="376"/>
      <c r="EK3" s="376"/>
      <c r="EL3" s="376"/>
      <c r="EM3" s="376"/>
      <c r="EN3" s="376"/>
      <c r="EO3" s="376"/>
      <c r="EP3" s="376"/>
      <c r="EQ3" s="376"/>
      <c r="ER3" s="376"/>
      <c r="ES3" s="376"/>
      <c r="ET3" s="376"/>
      <c r="EU3" s="376"/>
      <c r="EV3" s="376"/>
      <c r="EW3" s="376"/>
      <c r="EX3" s="376"/>
      <c r="EY3" s="376"/>
      <c r="EZ3" s="376"/>
      <c r="FA3" s="376"/>
      <c r="FB3" s="376"/>
      <c r="FC3" s="376"/>
      <c r="FD3" s="376"/>
      <c r="FE3" s="376"/>
      <c r="FF3" s="376"/>
      <c r="FG3" s="376"/>
      <c r="FH3" s="376"/>
      <c r="FI3" s="376"/>
      <c r="FJ3" s="376"/>
      <c r="FK3" s="376"/>
      <c r="FL3" s="376"/>
      <c r="FM3" s="376"/>
      <c r="FN3" s="376"/>
      <c r="FO3" s="376"/>
      <c r="FP3" s="376"/>
      <c r="FQ3" s="376"/>
      <c r="FR3" s="376"/>
      <c r="FS3" s="376"/>
      <c r="FT3" s="376"/>
      <c r="FU3" s="376"/>
      <c r="FV3" s="376"/>
      <c r="FW3" s="376"/>
      <c r="FX3" s="376"/>
      <c r="FY3" s="376"/>
      <c r="FZ3" s="376"/>
      <c r="GA3" s="376"/>
      <c r="GB3" s="376"/>
      <c r="GC3" s="376"/>
      <c r="GD3" s="376"/>
      <c r="GE3" s="376"/>
      <c r="GF3" s="376"/>
      <c r="GG3" s="376"/>
      <c r="GH3" s="376"/>
      <c r="GI3" s="376"/>
      <c r="GJ3" s="376"/>
      <c r="GK3" s="376"/>
      <c r="GL3" s="376"/>
      <c r="GM3" s="376"/>
      <c r="GN3" s="376"/>
      <c r="GO3" s="376"/>
      <c r="GP3" s="376"/>
      <c r="GQ3" s="376"/>
      <c r="GR3" s="376"/>
      <c r="GS3" s="376"/>
      <c r="GT3" s="376"/>
      <c r="GU3" s="376"/>
      <c r="GV3" s="376"/>
      <c r="GW3" s="376"/>
      <c r="GX3" s="376"/>
      <c r="GY3" s="376"/>
      <c r="GZ3" s="376"/>
      <c r="HA3" s="376"/>
      <c r="HB3" s="376"/>
      <c r="HC3" s="376"/>
      <c r="HD3" s="376"/>
      <c r="HE3" s="376"/>
      <c r="HF3" s="376"/>
      <c r="HG3" s="376"/>
      <c r="HH3" s="376"/>
      <c r="HI3" s="376"/>
      <c r="HJ3" s="376"/>
      <c r="HK3" s="376"/>
      <c r="HL3" s="376"/>
      <c r="HM3" s="376"/>
      <c r="HN3" s="376"/>
      <c r="HO3" s="376"/>
      <c r="HP3" s="376"/>
      <c r="HQ3" s="376"/>
      <c r="HR3" s="376"/>
      <c r="HS3" s="376"/>
      <c r="HT3" s="376"/>
      <c r="HU3" s="376"/>
      <c r="HV3" s="376"/>
      <c r="HW3" s="376"/>
      <c r="HX3" s="376"/>
      <c r="HY3" s="376"/>
      <c r="HZ3" s="376"/>
      <c r="IA3" s="376"/>
      <c r="IB3" s="376"/>
      <c r="IC3" s="376"/>
      <c r="ID3" s="376"/>
      <c r="IE3" s="376"/>
      <c r="IF3" s="376"/>
      <c r="IG3" s="376"/>
      <c r="IH3" s="376"/>
      <c r="II3" s="376"/>
      <c r="IJ3" s="376"/>
      <c r="IK3" s="376"/>
      <c r="IL3" s="376"/>
      <c r="IM3" s="376"/>
      <c r="IN3" s="376"/>
      <c r="IO3" s="376"/>
      <c r="IP3" s="376"/>
      <c r="IQ3" s="376"/>
      <c r="IR3" s="376"/>
      <c r="IS3" s="376"/>
      <c r="IT3" s="376"/>
      <c r="IU3" s="376"/>
      <c r="IV3" s="376"/>
      <c r="IW3" s="376"/>
      <c r="IX3" s="376"/>
      <c r="IY3" s="376"/>
      <c r="IZ3" s="376"/>
      <c r="JA3" s="376"/>
      <c r="JB3" s="376"/>
      <c r="JC3" s="376"/>
      <c r="JD3" s="376"/>
      <c r="JE3" s="376"/>
      <c r="JF3" s="376"/>
      <c r="JG3" s="376"/>
      <c r="JH3" s="376"/>
      <c r="JI3" s="376"/>
      <c r="JJ3" s="376"/>
      <c r="JK3" s="376"/>
      <c r="JL3" s="376"/>
      <c r="JM3" s="376"/>
      <c r="JN3" s="376"/>
      <c r="JO3" s="376"/>
      <c r="JP3" s="376"/>
      <c r="JQ3" s="376"/>
      <c r="JR3" s="376"/>
      <c r="JS3" s="376"/>
      <c r="JT3" s="376"/>
      <c r="JU3" s="376"/>
      <c r="JV3" s="376"/>
      <c r="JW3" s="376"/>
      <c r="JX3" s="376"/>
      <c r="JY3" s="376"/>
      <c r="JZ3" s="376"/>
      <c r="KA3" s="376"/>
      <c r="KB3" s="376"/>
      <c r="KC3" s="376"/>
      <c r="KD3" s="376"/>
      <c r="KE3" s="376"/>
      <c r="KF3" s="376"/>
      <c r="KG3" s="376"/>
      <c r="KH3" s="376"/>
      <c r="KI3" s="376"/>
      <c r="KJ3" s="376"/>
      <c r="KK3" s="376"/>
      <c r="KL3" s="376"/>
      <c r="KM3" s="376"/>
      <c r="KN3" s="376"/>
      <c r="KO3" s="376"/>
      <c r="KP3" s="376"/>
      <c r="KQ3" s="376"/>
      <c r="KR3" s="376"/>
      <c r="KS3" s="376"/>
      <c r="KT3" s="376"/>
      <c r="KU3" s="376"/>
      <c r="KV3" s="376"/>
      <c r="KW3" s="376"/>
      <c r="KX3" s="376"/>
      <c r="KY3" s="376"/>
      <c r="KZ3" s="376"/>
      <c r="LA3" s="376"/>
      <c r="LB3" s="376"/>
      <c r="LC3" s="376"/>
      <c r="LD3" s="376"/>
      <c r="LE3" s="376"/>
      <c r="LF3" s="376"/>
      <c r="LG3" s="376"/>
      <c r="LH3" s="376"/>
      <c r="LI3" s="376"/>
      <c r="LJ3" s="376"/>
      <c r="LK3" s="376"/>
      <c r="LL3" s="376"/>
      <c r="LM3" s="376"/>
      <c r="LN3" s="376"/>
      <c r="LO3" s="376"/>
      <c r="LP3" s="376"/>
      <c r="LQ3" s="376"/>
      <c r="LR3" s="376"/>
      <c r="LS3" s="376"/>
      <c r="LT3" s="376"/>
      <c r="LU3" s="376"/>
      <c r="LV3" s="376"/>
      <c r="LW3" s="376"/>
      <c r="LX3" s="376"/>
      <c r="LY3" s="376"/>
      <c r="LZ3" s="376"/>
      <c r="MA3" s="376"/>
      <c r="MB3" s="376"/>
      <c r="MC3" s="376"/>
      <c r="MD3" s="376"/>
      <c r="ME3" s="376"/>
      <c r="MF3" s="376"/>
      <c r="MG3" s="376"/>
      <c r="MH3" s="376"/>
      <c r="MI3" s="376"/>
      <c r="MJ3" s="376"/>
      <c r="MK3" s="376"/>
      <c r="ML3" s="376"/>
      <c r="MM3" s="376"/>
      <c r="MN3" s="376"/>
      <c r="MO3" s="376"/>
      <c r="MP3" s="376"/>
      <c r="MQ3" s="376"/>
      <c r="MR3" s="376"/>
      <c r="MS3" s="376"/>
      <c r="MT3" s="376"/>
      <c r="MU3" s="376"/>
      <c r="MV3" s="376"/>
      <c r="MW3" s="376"/>
      <c r="MX3" s="376"/>
      <c r="MY3" s="376"/>
      <c r="MZ3" s="376"/>
      <c r="NA3" s="376"/>
      <c r="NB3" s="376"/>
      <c r="NC3" s="376"/>
      <c r="ND3" s="376"/>
      <c r="NE3" s="376"/>
      <c r="NF3" s="376"/>
      <c r="NG3" s="376"/>
      <c r="NH3" s="376"/>
      <c r="NI3" s="376"/>
      <c r="NJ3" s="376"/>
      <c r="NK3" s="376"/>
      <c r="NL3" s="376"/>
      <c r="NM3" s="376"/>
      <c r="NN3" s="376"/>
      <c r="NO3" s="376"/>
      <c r="NP3" s="376"/>
      <c r="NQ3" s="376"/>
      <c r="NR3" s="376"/>
      <c r="NS3" s="376"/>
      <c r="NT3" s="376"/>
      <c r="NU3" s="376"/>
      <c r="NV3" s="376"/>
      <c r="NW3" s="376"/>
      <c r="NX3" s="376"/>
      <c r="NY3" s="376"/>
      <c r="NZ3" s="376"/>
      <c r="OA3" s="376"/>
      <c r="OB3" s="376"/>
      <c r="OC3" s="376"/>
      <c r="OD3" s="376"/>
      <c r="OE3" s="376"/>
      <c r="OF3" s="376"/>
      <c r="OG3" s="376"/>
      <c r="OH3" s="376"/>
      <c r="OI3" s="376"/>
      <c r="OJ3" s="376"/>
      <c r="OK3" s="376"/>
      <c r="OL3" s="376"/>
      <c r="OM3" s="376"/>
      <c r="ON3" s="376"/>
      <c r="OO3" s="376"/>
      <c r="OP3" s="376"/>
      <c r="OQ3" s="376"/>
      <c r="OR3" s="376"/>
      <c r="OS3" s="376"/>
      <c r="OT3" s="376"/>
      <c r="OU3" s="376"/>
      <c r="OV3" s="376"/>
      <c r="OW3" s="376"/>
      <c r="OX3" s="376"/>
      <c r="OY3" s="376"/>
      <c r="OZ3" s="376"/>
      <c r="PA3" s="376"/>
      <c r="PB3" s="376"/>
      <c r="PC3" s="376"/>
      <c r="PD3" s="376"/>
      <c r="PE3" s="376"/>
      <c r="PF3" s="376"/>
      <c r="PG3" s="376"/>
      <c r="PH3" s="376"/>
      <c r="PI3" s="376"/>
      <c r="PJ3" s="376"/>
      <c r="PK3" s="376"/>
      <c r="PL3" s="376"/>
      <c r="PM3" s="376"/>
      <c r="PN3" s="376"/>
      <c r="PO3" s="376"/>
      <c r="PP3" s="376"/>
      <c r="PQ3" s="376"/>
      <c r="PR3" s="376"/>
      <c r="PS3" s="376"/>
      <c r="PT3" s="376"/>
      <c r="PU3" s="376"/>
      <c r="PV3" s="376"/>
      <c r="PW3" s="376"/>
      <c r="PX3" s="376"/>
      <c r="PY3" s="376"/>
      <c r="PZ3" s="376"/>
      <c r="QA3" s="376"/>
      <c r="QB3" s="376"/>
      <c r="QC3" s="376"/>
      <c r="QD3" s="376"/>
      <c r="QE3" s="376"/>
      <c r="QF3" s="376"/>
      <c r="QG3" s="376"/>
      <c r="QH3" s="376"/>
      <c r="QI3" s="376"/>
      <c r="QJ3" s="376"/>
      <c r="QK3" s="376"/>
      <c r="QL3" s="376"/>
      <c r="QM3" s="376"/>
      <c r="QN3" s="376"/>
      <c r="QO3" s="376"/>
      <c r="QP3" s="376"/>
      <c r="QQ3" s="376"/>
      <c r="QR3" s="376"/>
      <c r="QS3" s="376"/>
      <c r="QT3" s="376"/>
      <c r="QU3" s="376"/>
      <c r="QV3" s="376"/>
      <c r="QW3" s="376"/>
      <c r="QX3" s="376"/>
      <c r="QY3" s="376"/>
      <c r="QZ3" s="376"/>
      <c r="RA3" s="376"/>
      <c r="RB3" s="376"/>
      <c r="RC3" s="376"/>
      <c r="RD3" s="376"/>
      <c r="RE3" s="376"/>
      <c r="RF3" s="376"/>
      <c r="RG3" s="376"/>
      <c r="RH3" s="376"/>
      <c r="RI3" s="376"/>
      <c r="RJ3" s="376"/>
      <c r="RK3" s="376"/>
      <c r="RL3" s="376"/>
      <c r="RM3" s="376"/>
      <c r="RN3" s="376"/>
      <c r="RO3" s="376"/>
      <c r="RP3" s="376"/>
      <c r="RQ3" s="376"/>
      <c r="RR3" s="376"/>
      <c r="RS3" s="376"/>
      <c r="RT3" s="376"/>
      <c r="RU3" s="376"/>
      <c r="RV3" s="376"/>
      <c r="RW3" s="376"/>
      <c r="RX3" s="376"/>
      <c r="RY3" s="376"/>
      <c r="RZ3" s="376"/>
      <c r="SA3" s="376"/>
      <c r="SB3" s="376"/>
      <c r="SC3" s="376"/>
      <c r="SD3" s="376"/>
      <c r="SE3" s="376"/>
    </row>
    <row r="4" spans="1:499" s="700" customFormat="1" ht="19.5" customHeight="1">
      <c r="A4" s="205"/>
      <c r="B4" s="205"/>
      <c r="C4" s="725" t="s">
        <v>465</v>
      </c>
      <c r="D4" s="726"/>
      <c r="E4" s="726"/>
      <c r="F4" s="726"/>
      <c r="G4" s="727"/>
      <c r="H4" s="725" t="s">
        <v>465</v>
      </c>
      <c r="I4" s="726"/>
      <c r="J4" s="726"/>
      <c r="K4" s="726"/>
      <c r="L4" s="727"/>
      <c r="M4" s="725" t="s">
        <v>465</v>
      </c>
      <c r="N4" s="726"/>
      <c r="O4" s="726"/>
      <c r="P4" s="726"/>
      <c r="Q4" s="727"/>
      <c r="R4" s="725" t="s">
        <v>465</v>
      </c>
      <c r="S4" s="726"/>
      <c r="T4" s="726"/>
      <c r="U4" s="726"/>
      <c r="V4" s="727"/>
      <c r="W4" s="538"/>
      <c r="X4" s="539"/>
      <c r="Y4" s="698"/>
      <c r="Z4" s="698"/>
      <c r="AA4" s="698"/>
      <c r="AB4" s="699"/>
      <c r="AC4" s="699"/>
      <c r="AD4" s="699"/>
      <c r="AE4" s="699"/>
      <c r="AF4" s="699"/>
      <c r="AG4" s="699"/>
      <c r="AH4" s="699"/>
      <c r="AI4" s="699"/>
      <c r="AJ4" s="699"/>
      <c r="AK4" s="699"/>
      <c r="AL4" s="699"/>
      <c r="AM4" s="699"/>
      <c r="AN4" s="699"/>
      <c r="AO4" s="699"/>
      <c r="AP4" s="699"/>
      <c r="AQ4" s="699"/>
      <c r="AR4" s="699"/>
      <c r="AS4" s="699"/>
      <c r="AT4" s="699"/>
      <c r="AU4" s="699"/>
      <c r="AV4" s="699"/>
      <c r="AW4" s="699"/>
      <c r="AX4" s="699"/>
      <c r="AY4" s="699"/>
      <c r="AZ4" s="699"/>
      <c r="BA4" s="699"/>
      <c r="BB4" s="699"/>
      <c r="BC4" s="699"/>
      <c r="BD4" s="699"/>
      <c r="BE4" s="699"/>
      <c r="BF4" s="699"/>
      <c r="BG4" s="699"/>
      <c r="BH4" s="699"/>
      <c r="BI4" s="699"/>
      <c r="BJ4" s="699"/>
      <c r="BK4" s="699"/>
      <c r="BL4" s="699"/>
      <c r="BM4" s="699"/>
      <c r="BN4" s="699"/>
      <c r="BO4" s="699"/>
      <c r="BP4" s="699"/>
      <c r="BQ4" s="699"/>
      <c r="BR4" s="699"/>
      <c r="BS4" s="699"/>
      <c r="BT4" s="699"/>
      <c r="BU4" s="699"/>
      <c r="BV4" s="699"/>
      <c r="BW4" s="699"/>
      <c r="BX4" s="699"/>
      <c r="BY4" s="699"/>
      <c r="BZ4" s="699"/>
      <c r="CA4" s="699"/>
      <c r="CB4" s="699"/>
      <c r="CC4" s="699"/>
      <c r="CD4" s="699"/>
      <c r="CE4" s="699"/>
      <c r="CF4" s="699"/>
      <c r="CG4" s="699"/>
      <c r="CH4" s="699"/>
      <c r="CI4" s="699"/>
      <c r="CJ4" s="699"/>
      <c r="CK4" s="699"/>
      <c r="CL4" s="699"/>
      <c r="CM4" s="699"/>
      <c r="CN4" s="699"/>
      <c r="CO4" s="699"/>
      <c r="CP4" s="699"/>
      <c r="CQ4" s="699"/>
      <c r="CR4" s="699"/>
      <c r="CS4" s="699"/>
      <c r="CT4" s="699"/>
      <c r="CU4" s="699"/>
      <c r="CV4" s="699"/>
      <c r="CW4" s="699"/>
      <c r="CX4" s="699"/>
      <c r="CY4" s="699"/>
      <c r="CZ4" s="699"/>
      <c r="DA4" s="699"/>
      <c r="DB4" s="699"/>
      <c r="DC4" s="699"/>
      <c r="DD4" s="699"/>
      <c r="DE4" s="699"/>
      <c r="DF4" s="699"/>
      <c r="DG4" s="699"/>
      <c r="DH4" s="699"/>
      <c r="DI4" s="699"/>
      <c r="DJ4" s="699"/>
      <c r="DK4" s="699"/>
      <c r="DL4" s="699"/>
      <c r="DM4" s="699"/>
      <c r="DN4" s="699"/>
      <c r="DO4" s="699"/>
      <c r="DP4" s="699"/>
      <c r="DQ4" s="699"/>
      <c r="DR4" s="699"/>
      <c r="DS4" s="699"/>
      <c r="DT4" s="699"/>
      <c r="DU4" s="699"/>
      <c r="DV4" s="699"/>
      <c r="DW4" s="699"/>
      <c r="DX4" s="699"/>
      <c r="DY4" s="699"/>
      <c r="DZ4" s="699"/>
      <c r="EA4" s="699"/>
      <c r="EB4" s="699"/>
      <c r="EC4" s="699"/>
      <c r="ED4" s="699"/>
      <c r="EE4" s="699"/>
      <c r="EF4" s="699"/>
      <c r="EG4" s="699"/>
      <c r="EH4" s="699"/>
      <c r="EI4" s="699"/>
      <c r="EJ4" s="699"/>
      <c r="EK4" s="699"/>
      <c r="EL4" s="699"/>
      <c r="EM4" s="699"/>
      <c r="EN4" s="699"/>
      <c r="EO4" s="699"/>
      <c r="EP4" s="699"/>
      <c r="EQ4" s="699"/>
      <c r="ER4" s="699"/>
      <c r="ES4" s="699"/>
      <c r="ET4" s="699"/>
      <c r="EU4" s="699"/>
      <c r="EV4" s="699"/>
      <c r="EW4" s="699"/>
      <c r="EX4" s="699"/>
      <c r="EY4" s="699"/>
      <c r="EZ4" s="699"/>
      <c r="FA4" s="699"/>
      <c r="FB4" s="699"/>
      <c r="FC4" s="699"/>
      <c r="FD4" s="699"/>
      <c r="FE4" s="699"/>
      <c r="FF4" s="699"/>
      <c r="FG4" s="699"/>
      <c r="FH4" s="699"/>
      <c r="FI4" s="699"/>
      <c r="FJ4" s="699"/>
      <c r="FK4" s="699"/>
      <c r="FL4" s="699"/>
      <c r="FM4" s="699"/>
      <c r="FN4" s="699"/>
      <c r="FO4" s="699"/>
      <c r="FP4" s="699"/>
      <c r="FQ4" s="699"/>
      <c r="FR4" s="699"/>
      <c r="FS4" s="699"/>
      <c r="FT4" s="699"/>
      <c r="FU4" s="699"/>
      <c r="FV4" s="699"/>
      <c r="FW4" s="699"/>
      <c r="FX4" s="699"/>
      <c r="FY4" s="699"/>
      <c r="FZ4" s="699"/>
      <c r="GA4" s="699"/>
      <c r="GB4" s="699"/>
      <c r="GC4" s="699"/>
      <c r="GD4" s="699"/>
      <c r="GE4" s="699"/>
      <c r="GF4" s="699"/>
      <c r="GG4" s="699"/>
      <c r="GH4" s="699"/>
      <c r="GI4" s="699"/>
      <c r="GJ4" s="699"/>
      <c r="GK4" s="699"/>
      <c r="GL4" s="699"/>
      <c r="GM4" s="699"/>
      <c r="GN4" s="699"/>
      <c r="GO4" s="699"/>
      <c r="GP4" s="699"/>
      <c r="GQ4" s="699"/>
      <c r="GR4" s="699"/>
      <c r="GS4" s="699"/>
      <c r="GT4" s="699"/>
      <c r="GU4" s="699"/>
      <c r="GV4" s="699"/>
      <c r="GW4" s="699"/>
      <c r="GX4" s="699"/>
      <c r="GY4" s="699"/>
      <c r="GZ4" s="699"/>
      <c r="HA4" s="699"/>
      <c r="HB4" s="699"/>
      <c r="HC4" s="699"/>
      <c r="HD4" s="699"/>
      <c r="HE4" s="699"/>
      <c r="HF4" s="699"/>
      <c r="HG4" s="699"/>
      <c r="HH4" s="699"/>
      <c r="HI4" s="699"/>
      <c r="HJ4" s="699"/>
      <c r="HK4" s="699"/>
      <c r="HL4" s="699"/>
      <c r="HM4" s="699"/>
      <c r="HN4" s="699"/>
      <c r="HO4" s="699"/>
      <c r="HP4" s="699"/>
      <c r="HQ4" s="699"/>
      <c r="HR4" s="699"/>
      <c r="HS4" s="699"/>
      <c r="HT4" s="699"/>
      <c r="HU4" s="699"/>
      <c r="HV4" s="699"/>
      <c r="HW4" s="699"/>
      <c r="HX4" s="699"/>
      <c r="HY4" s="699"/>
      <c r="HZ4" s="699"/>
      <c r="IA4" s="699"/>
      <c r="IB4" s="699"/>
      <c r="IC4" s="699"/>
      <c r="ID4" s="699"/>
      <c r="IE4" s="699"/>
      <c r="IF4" s="699"/>
      <c r="IG4" s="699"/>
      <c r="IH4" s="699"/>
      <c r="II4" s="699"/>
      <c r="IJ4" s="699"/>
      <c r="IK4" s="699"/>
      <c r="IL4" s="699"/>
      <c r="IM4" s="699"/>
      <c r="IN4" s="699"/>
      <c r="IO4" s="699"/>
      <c r="IP4" s="699"/>
      <c r="IQ4" s="699"/>
      <c r="IR4" s="699"/>
      <c r="IS4" s="699"/>
      <c r="IT4" s="699"/>
      <c r="IU4" s="699"/>
      <c r="IV4" s="699"/>
      <c r="IW4" s="699"/>
      <c r="IX4" s="699"/>
      <c r="IY4" s="699"/>
      <c r="IZ4" s="699"/>
      <c r="JA4" s="699"/>
      <c r="JB4" s="699"/>
      <c r="JC4" s="699"/>
      <c r="JD4" s="699"/>
      <c r="JE4" s="699"/>
      <c r="JF4" s="699"/>
      <c r="JG4" s="699"/>
      <c r="JH4" s="699"/>
      <c r="JI4" s="699"/>
      <c r="JJ4" s="699"/>
      <c r="JK4" s="699"/>
      <c r="JL4" s="699"/>
      <c r="JM4" s="699"/>
      <c r="JN4" s="699"/>
      <c r="JO4" s="699"/>
      <c r="JP4" s="699"/>
      <c r="JQ4" s="699"/>
      <c r="JR4" s="699"/>
      <c r="JS4" s="699"/>
      <c r="JT4" s="699"/>
      <c r="JU4" s="699"/>
      <c r="JV4" s="699"/>
      <c r="JW4" s="699"/>
      <c r="JX4" s="699"/>
      <c r="JY4" s="699"/>
      <c r="JZ4" s="699"/>
      <c r="KA4" s="699"/>
      <c r="KB4" s="699"/>
      <c r="KC4" s="699"/>
      <c r="KD4" s="699"/>
      <c r="KE4" s="699"/>
      <c r="KF4" s="699"/>
      <c r="KG4" s="699"/>
      <c r="KH4" s="699"/>
      <c r="KI4" s="699"/>
      <c r="KJ4" s="699"/>
      <c r="KK4" s="699"/>
      <c r="KL4" s="699"/>
      <c r="KM4" s="699"/>
      <c r="KN4" s="699"/>
      <c r="KO4" s="699"/>
      <c r="KP4" s="699"/>
      <c r="KQ4" s="699"/>
      <c r="KR4" s="699"/>
      <c r="KS4" s="699"/>
      <c r="KT4" s="699"/>
      <c r="KU4" s="699"/>
      <c r="KV4" s="699"/>
      <c r="KW4" s="699"/>
      <c r="KX4" s="699"/>
      <c r="KY4" s="699"/>
      <c r="KZ4" s="699"/>
      <c r="LA4" s="699"/>
      <c r="LB4" s="699"/>
      <c r="LC4" s="699"/>
      <c r="LD4" s="699"/>
      <c r="LE4" s="699"/>
      <c r="LF4" s="699"/>
      <c r="LG4" s="699"/>
      <c r="LH4" s="699"/>
      <c r="LI4" s="699"/>
      <c r="LJ4" s="699"/>
      <c r="LK4" s="699"/>
      <c r="LL4" s="699"/>
      <c r="LM4" s="699"/>
      <c r="LN4" s="699"/>
      <c r="LO4" s="699"/>
      <c r="LP4" s="699"/>
      <c r="LQ4" s="699"/>
      <c r="LR4" s="699"/>
      <c r="LS4" s="699"/>
      <c r="LT4" s="699"/>
      <c r="LU4" s="699"/>
      <c r="LV4" s="699"/>
      <c r="LW4" s="699"/>
      <c r="LX4" s="699"/>
      <c r="LY4" s="699"/>
      <c r="LZ4" s="699"/>
      <c r="MA4" s="699"/>
      <c r="MB4" s="699"/>
      <c r="MC4" s="699"/>
      <c r="MD4" s="699"/>
      <c r="ME4" s="699"/>
      <c r="MF4" s="699"/>
      <c r="MG4" s="699"/>
      <c r="MH4" s="699"/>
      <c r="MI4" s="699"/>
      <c r="MJ4" s="699"/>
      <c r="MK4" s="699"/>
      <c r="ML4" s="699"/>
      <c r="MM4" s="699"/>
      <c r="MN4" s="699"/>
      <c r="MO4" s="699"/>
      <c r="MP4" s="699"/>
      <c r="MQ4" s="699"/>
      <c r="MR4" s="699"/>
      <c r="MS4" s="699"/>
      <c r="MT4" s="699"/>
      <c r="MU4" s="699"/>
      <c r="MV4" s="699"/>
      <c r="MW4" s="699"/>
      <c r="MX4" s="699"/>
      <c r="MY4" s="699"/>
      <c r="MZ4" s="699"/>
      <c r="NA4" s="699"/>
      <c r="NB4" s="699"/>
      <c r="NC4" s="699"/>
      <c r="ND4" s="699"/>
      <c r="NE4" s="699"/>
      <c r="NF4" s="699"/>
      <c r="NG4" s="699"/>
      <c r="NH4" s="699"/>
      <c r="NI4" s="699"/>
      <c r="NJ4" s="699"/>
      <c r="NK4" s="699"/>
      <c r="NL4" s="699"/>
      <c r="NM4" s="699"/>
      <c r="NN4" s="699"/>
      <c r="NO4" s="699"/>
      <c r="NP4" s="699"/>
      <c r="NQ4" s="699"/>
      <c r="NR4" s="699"/>
      <c r="NS4" s="699"/>
      <c r="NT4" s="699"/>
      <c r="NU4" s="699"/>
      <c r="NV4" s="699"/>
      <c r="NW4" s="699"/>
      <c r="NX4" s="699"/>
      <c r="NY4" s="699"/>
      <c r="NZ4" s="699"/>
      <c r="OA4" s="699"/>
      <c r="OB4" s="699"/>
      <c r="OC4" s="699"/>
      <c r="OD4" s="699"/>
      <c r="OE4" s="699"/>
      <c r="OF4" s="699"/>
      <c r="OG4" s="699"/>
      <c r="OH4" s="699"/>
      <c r="OI4" s="699"/>
      <c r="OJ4" s="699"/>
      <c r="OK4" s="699"/>
      <c r="OL4" s="699"/>
      <c r="OM4" s="699"/>
      <c r="ON4" s="699"/>
      <c r="OO4" s="699"/>
      <c r="OP4" s="699"/>
      <c r="OQ4" s="699"/>
      <c r="OR4" s="699"/>
      <c r="OS4" s="699"/>
      <c r="OT4" s="699"/>
      <c r="OU4" s="699"/>
      <c r="OV4" s="699"/>
      <c r="OW4" s="699"/>
      <c r="OX4" s="699"/>
      <c r="OY4" s="699"/>
      <c r="OZ4" s="699"/>
      <c r="PA4" s="699"/>
      <c r="PB4" s="699"/>
      <c r="PC4" s="699"/>
      <c r="PD4" s="699"/>
      <c r="PE4" s="699"/>
      <c r="PF4" s="699"/>
      <c r="PG4" s="699"/>
      <c r="PH4" s="699"/>
      <c r="PI4" s="699"/>
      <c r="PJ4" s="699"/>
      <c r="PK4" s="699"/>
      <c r="PL4" s="699"/>
      <c r="PM4" s="699"/>
      <c r="PN4" s="699"/>
      <c r="PO4" s="699"/>
      <c r="PP4" s="699"/>
      <c r="PQ4" s="699"/>
      <c r="PR4" s="699"/>
      <c r="PS4" s="699"/>
      <c r="PT4" s="699"/>
      <c r="PU4" s="699"/>
      <c r="PV4" s="699"/>
      <c r="PW4" s="699"/>
      <c r="PX4" s="699"/>
      <c r="PY4" s="699"/>
      <c r="PZ4" s="699"/>
      <c r="QA4" s="699"/>
      <c r="QB4" s="699"/>
      <c r="QC4" s="699"/>
      <c r="QD4" s="699"/>
      <c r="QE4" s="699"/>
      <c r="QF4" s="699"/>
      <c r="QG4" s="699"/>
      <c r="QH4" s="699"/>
      <c r="QI4" s="699"/>
      <c r="QJ4" s="699"/>
      <c r="QK4" s="699"/>
      <c r="QL4" s="699"/>
      <c r="QM4" s="699"/>
      <c r="QN4" s="699"/>
      <c r="QO4" s="699"/>
      <c r="QP4" s="699"/>
      <c r="QQ4" s="699"/>
      <c r="QR4" s="699"/>
      <c r="QS4" s="699"/>
      <c r="QT4" s="699"/>
      <c r="QU4" s="699"/>
      <c r="QV4" s="699"/>
      <c r="QW4" s="699"/>
      <c r="QX4" s="699"/>
      <c r="QY4" s="699"/>
      <c r="QZ4" s="699"/>
      <c r="RA4" s="699"/>
      <c r="RB4" s="699"/>
      <c r="RC4" s="699"/>
      <c r="RD4" s="699"/>
      <c r="RE4" s="699"/>
      <c r="RF4" s="699"/>
      <c r="RG4" s="699"/>
      <c r="RH4" s="699"/>
      <c r="RI4" s="699"/>
      <c r="RJ4" s="699"/>
      <c r="RK4" s="699"/>
      <c r="RL4" s="699"/>
      <c r="RM4" s="699"/>
      <c r="RN4" s="699"/>
      <c r="RO4" s="699"/>
      <c r="RP4" s="699"/>
      <c r="RQ4" s="699"/>
      <c r="RR4" s="699"/>
      <c r="RS4" s="699"/>
      <c r="RT4" s="699"/>
      <c r="RU4" s="699"/>
      <c r="RV4" s="699"/>
      <c r="RW4" s="699"/>
      <c r="RX4" s="699"/>
      <c r="RY4" s="699"/>
      <c r="RZ4" s="699"/>
      <c r="SA4" s="699"/>
      <c r="SB4" s="699"/>
      <c r="SC4" s="699"/>
      <c r="SD4" s="699"/>
      <c r="SE4" s="699"/>
    </row>
    <row r="5" spans="1:499" s="700" customFormat="1" ht="15.75" customHeight="1" thickBot="1">
      <c r="A5" s="205"/>
      <c r="B5" s="205"/>
      <c r="C5" s="730" t="s">
        <v>466</v>
      </c>
      <c r="D5" s="731"/>
      <c r="E5" s="731"/>
      <c r="F5" s="731"/>
      <c r="G5" s="732"/>
      <c r="H5" s="730" t="s">
        <v>466</v>
      </c>
      <c r="I5" s="731"/>
      <c r="J5" s="731"/>
      <c r="K5" s="731"/>
      <c r="L5" s="732"/>
      <c r="M5" s="730" t="s">
        <v>466</v>
      </c>
      <c r="N5" s="731"/>
      <c r="O5" s="731"/>
      <c r="P5" s="731"/>
      <c r="Q5" s="732"/>
      <c r="R5" s="730" t="s">
        <v>466</v>
      </c>
      <c r="S5" s="731"/>
      <c r="T5" s="731"/>
      <c r="U5" s="731"/>
      <c r="V5" s="732"/>
      <c r="W5" s="538"/>
      <c r="X5" s="539"/>
      <c r="Y5" s="698"/>
      <c r="Z5" s="698"/>
      <c r="AA5" s="698"/>
      <c r="AB5" s="699"/>
      <c r="AC5" s="699"/>
      <c r="AD5" s="699"/>
      <c r="AE5" s="699"/>
      <c r="AF5" s="699"/>
      <c r="AG5" s="699"/>
      <c r="AH5" s="699"/>
      <c r="AI5" s="699"/>
      <c r="AJ5" s="699"/>
      <c r="AK5" s="699"/>
      <c r="AL5" s="699"/>
      <c r="AM5" s="699"/>
      <c r="AN5" s="699"/>
      <c r="AO5" s="699"/>
      <c r="AP5" s="699"/>
      <c r="AQ5" s="699"/>
      <c r="AR5" s="699"/>
      <c r="AS5" s="699"/>
      <c r="AT5" s="699"/>
      <c r="AU5" s="699"/>
      <c r="AV5" s="699"/>
      <c r="AW5" s="699"/>
      <c r="AX5" s="699"/>
      <c r="AY5" s="699"/>
      <c r="AZ5" s="699"/>
      <c r="BA5" s="699"/>
      <c r="BB5" s="699"/>
      <c r="BC5" s="699"/>
      <c r="BD5" s="699"/>
      <c r="BE5" s="699"/>
      <c r="BF5" s="699"/>
      <c r="BG5" s="699"/>
      <c r="BH5" s="699"/>
      <c r="BI5" s="699"/>
      <c r="BJ5" s="699"/>
      <c r="BK5" s="699"/>
      <c r="BL5" s="699"/>
      <c r="BM5" s="699"/>
      <c r="BN5" s="699"/>
      <c r="BO5" s="699"/>
      <c r="BP5" s="699"/>
      <c r="BQ5" s="699"/>
      <c r="BR5" s="699"/>
      <c r="BS5" s="699"/>
      <c r="BT5" s="699"/>
      <c r="BU5" s="699"/>
      <c r="BV5" s="699"/>
      <c r="BW5" s="699"/>
      <c r="BX5" s="699"/>
      <c r="BY5" s="699"/>
      <c r="BZ5" s="699"/>
      <c r="CA5" s="699"/>
      <c r="CB5" s="699"/>
      <c r="CC5" s="699"/>
      <c r="CD5" s="699"/>
      <c r="CE5" s="699"/>
      <c r="CF5" s="699"/>
      <c r="CG5" s="699"/>
      <c r="CH5" s="699"/>
      <c r="CI5" s="699"/>
      <c r="CJ5" s="699"/>
      <c r="CK5" s="699"/>
      <c r="CL5" s="699"/>
      <c r="CM5" s="699"/>
      <c r="CN5" s="699"/>
      <c r="CO5" s="699"/>
      <c r="CP5" s="699"/>
      <c r="CQ5" s="699"/>
      <c r="CR5" s="699"/>
      <c r="CS5" s="699"/>
      <c r="CT5" s="699"/>
      <c r="CU5" s="699"/>
      <c r="CV5" s="699"/>
      <c r="CW5" s="699"/>
      <c r="CX5" s="699"/>
      <c r="CY5" s="699"/>
      <c r="CZ5" s="699"/>
      <c r="DA5" s="699"/>
      <c r="DB5" s="699"/>
      <c r="DC5" s="699"/>
      <c r="DD5" s="699"/>
      <c r="DE5" s="699"/>
      <c r="DF5" s="699"/>
      <c r="DG5" s="699"/>
      <c r="DH5" s="699"/>
      <c r="DI5" s="699"/>
      <c r="DJ5" s="699"/>
      <c r="DK5" s="699"/>
      <c r="DL5" s="699"/>
      <c r="DM5" s="699"/>
      <c r="DN5" s="699"/>
      <c r="DO5" s="699"/>
      <c r="DP5" s="699"/>
      <c r="DQ5" s="699"/>
      <c r="DR5" s="699"/>
      <c r="DS5" s="699"/>
      <c r="DT5" s="699"/>
      <c r="DU5" s="699"/>
      <c r="DV5" s="699"/>
      <c r="DW5" s="699"/>
      <c r="DX5" s="699"/>
      <c r="DY5" s="699"/>
      <c r="DZ5" s="699"/>
      <c r="EA5" s="699"/>
      <c r="EB5" s="699"/>
      <c r="EC5" s="699"/>
      <c r="ED5" s="699"/>
      <c r="EE5" s="699"/>
      <c r="EF5" s="699"/>
      <c r="EG5" s="699"/>
      <c r="EH5" s="699"/>
      <c r="EI5" s="699"/>
      <c r="EJ5" s="699"/>
      <c r="EK5" s="699"/>
      <c r="EL5" s="699"/>
      <c r="EM5" s="699"/>
      <c r="EN5" s="699"/>
      <c r="EO5" s="699"/>
      <c r="EP5" s="699"/>
      <c r="EQ5" s="699"/>
      <c r="ER5" s="699"/>
      <c r="ES5" s="699"/>
      <c r="ET5" s="699"/>
      <c r="EU5" s="699"/>
      <c r="EV5" s="699"/>
      <c r="EW5" s="699"/>
      <c r="EX5" s="699"/>
      <c r="EY5" s="699"/>
      <c r="EZ5" s="699"/>
      <c r="FA5" s="699"/>
      <c r="FB5" s="699"/>
      <c r="FC5" s="699"/>
      <c r="FD5" s="699"/>
      <c r="FE5" s="699"/>
      <c r="FF5" s="699"/>
      <c r="FG5" s="699"/>
      <c r="FH5" s="699"/>
      <c r="FI5" s="699"/>
      <c r="FJ5" s="699"/>
      <c r="FK5" s="699"/>
      <c r="FL5" s="699"/>
      <c r="FM5" s="699"/>
      <c r="FN5" s="699"/>
      <c r="FO5" s="699"/>
      <c r="FP5" s="699"/>
      <c r="FQ5" s="699"/>
      <c r="FR5" s="699"/>
      <c r="FS5" s="699"/>
      <c r="FT5" s="699"/>
      <c r="FU5" s="699"/>
      <c r="FV5" s="699"/>
      <c r="FW5" s="699"/>
      <c r="FX5" s="699"/>
      <c r="FY5" s="699"/>
      <c r="FZ5" s="699"/>
      <c r="GA5" s="699"/>
      <c r="GB5" s="699"/>
      <c r="GC5" s="699"/>
      <c r="GD5" s="699"/>
      <c r="GE5" s="699"/>
      <c r="GF5" s="699"/>
      <c r="GG5" s="699"/>
      <c r="GH5" s="699"/>
      <c r="GI5" s="699"/>
      <c r="GJ5" s="699"/>
      <c r="GK5" s="699"/>
      <c r="GL5" s="699"/>
      <c r="GM5" s="699"/>
      <c r="GN5" s="699"/>
      <c r="GO5" s="699"/>
      <c r="GP5" s="699"/>
      <c r="GQ5" s="699"/>
      <c r="GR5" s="699"/>
      <c r="GS5" s="699"/>
      <c r="GT5" s="699"/>
      <c r="GU5" s="699"/>
      <c r="GV5" s="699"/>
      <c r="GW5" s="699"/>
      <c r="GX5" s="699"/>
      <c r="GY5" s="699"/>
      <c r="GZ5" s="699"/>
      <c r="HA5" s="699"/>
      <c r="HB5" s="699"/>
      <c r="HC5" s="699"/>
      <c r="HD5" s="699"/>
      <c r="HE5" s="699"/>
      <c r="HF5" s="699"/>
      <c r="HG5" s="699"/>
      <c r="HH5" s="699"/>
      <c r="HI5" s="699"/>
      <c r="HJ5" s="699"/>
      <c r="HK5" s="699"/>
      <c r="HL5" s="699"/>
      <c r="HM5" s="699"/>
      <c r="HN5" s="699"/>
      <c r="HO5" s="699"/>
      <c r="HP5" s="699"/>
      <c r="HQ5" s="699"/>
      <c r="HR5" s="699"/>
      <c r="HS5" s="699"/>
      <c r="HT5" s="699"/>
      <c r="HU5" s="699"/>
      <c r="HV5" s="699"/>
      <c r="HW5" s="699"/>
      <c r="HX5" s="699"/>
      <c r="HY5" s="699"/>
      <c r="HZ5" s="699"/>
      <c r="IA5" s="699"/>
      <c r="IB5" s="699"/>
      <c r="IC5" s="699"/>
      <c r="ID5" s="699"/>
      <c r="IE5" s="699"/>
      <c r="IF5" s="699"/>
      <c r="IG5" s="699"/>
      <c r="IH5" s="699"/>
      <c r="II5" s="699"/>
      <c r="IJ5" s="699"/>
      <c r="IK5" s="699"/>
      <c r="IL5" s="699"/>
      <c r="IM5" s="699"/>
      <c r="IN5" s="699"/>
      <c r="IO5" s="699"/>
      <c r="IP5" s="699"/>
      <c r="IQ5" s="699"/>
      <c r="IR5" s="699"/>
      <c r="IS5" s="699"/>
      <c r="IT5" s="699"/>
      <c r="IU5" s="699"/>
      <c r="IV5" s="699"/>
      <c r="IW5" s="699"/>
      <c r="IX5" s="699"/>
      <c r="IY5" s="699"/>
      <c r="IZ5" s="699"/>
      <c r="JA5" s="699"/>
      <c r="JB5" s="699"/>
      <c r="JC5" s="699"/>
      <c r="JD5" s="699"/>
      <c r="JE5" s="699"/>
      <c r="JF5" s="699"/>
      <c r="JG5" s="699"/>
      <c r="JH5" s="699"/>
      <c r="JI5" s="699"/>
      <c r="JJ5" s="699"/>
      <c r="JK5" s="699"/>
      <c r="JL5" s="699"/>
      <c r="JM5" s="699"/>
      <c r="JN5" s="699"/>
      <c r="JO5" s="699"/>
      <c r="JP5" s="699"/>
      <c r="JQ5" s="699"/>
      <c r="JR5" s="699"/>
      <c r="JS5" s="699"/>
      <c r="JT5" s="699"/>
      <c r="JU5" s="699"/>
      <c r="JV5" s="699"/>
      <c r="JW5" s="699"/>
      <c r="JX5" s="699"/>
      <c r="JY5" s="699"/>
      <c r="JZ5" s="699"/>
      <c r="KA5" s="699"/>
      <c r="KB5" s="699"/>
      <c r="KC5" s="699"/>
      <c r="KD5" s="699"/>
      <c r="KE5" s="699"/>
      <c r="KF5" s="699"/>
      <c r="KG5" s="699"/>
      <c r="KH5" s="699"/>
      <c r="KI5" s="699"/>
      <c r="KJ5" s="699"/>
      <c r="KK5" s="699"/>
      <c r="KL5" s="699"/>
      <c r="KM5" s="699"/>
      <c r="KN5" s="699"/>
      <c r="KO5" s="699"/>
      <c r="KP5" s="699"/>
      <c r="KQ5" s="699"/>
      <c r="KR5" s="699"/>
      <c r="KS5" s="699"/>
      <c r="KT5" s="699"/>
      <c r="KU5" s="699"/>
      <c r="KV5" s="699"/>
      <c r="KW5" s="699"/>
      <c r="KX5" s="699"/>
      <c r="KY5" s="699"/>
      <c r="KZ5" s="699"/>
      <c r="LA5" s="699"/>
      <c r="LB5" s="699"/>
      <c r="LC5" s="699"/>
      <c r="LD5" s="699"/>
      <c r="LE5" s="699"/>
      <c r="LF5" s="699"/>
      <c r="LG5" s="699"/>
      <c r="LH5" s="699"/>
      <c r="LI5" s="699"/>
      <c r="LJ5" s="699"/>
      <c r="LK5" s="699"/>
      <c r="LL5" s="699"/>
      <c r="LM5" s="699"/>
      <c r="LN5" s="699"/>
      <c r="LO5" s="699"/>
      <c r="LP5" s="699"/>
      <c r="LQ5" s="699"/>
      <c r="LR5" s="699"/>
      <c r="LS5" s="699"/>
      <c r="LT5" s="699"/>
      <c r="LU5" s="699"/>
      <c r="LV5" s="699"/>
      <c r="LW5" s="699"/>
      <c r="LX5" s="699"/>
      <c r="LY5" s="699"/>
      <c r="LZ5" s="699"/>
      <c r="MA5" s="699"/>
      <c r="MB5" s="699"/>
      <c r="MC5" s="699"/>
      <c r="MD5" s="699"/>
      <c r="ME5" s="699"/>
      <c r="MF5" s="699"/>
      <c r="MG5" s="699"/>
      <c r="MH5" s="699"/>
      <c r="MI5" s="699"/>
      <c r="MJ5" s="699"/>
      <c r="MK5" s="699"/>
      <c r="ML5" s="699"/>
      <c r="MM5" s="699"/>
      <c r="MN5" s="699"/>
      <c r="MO5" s="699"/>
      <c r="MP5" s="699"/>
      <c r="MQ5" s="699"/>
      <c r="MR5" s="699"/>
      <c r="MS5" s="699"/>
      <c r="MT5" s="699"/>
      <c r="MU5" s="699"/>
      <c r="MV5" s="699"/>
      <c r="MW5" s="699"/>
      <c r="MX5" s="699"/>
      <c r="MY5" s="699"/>
      <c r="MZ5" s="699"/>
      <c r="NA5" s="699"/>
      <c r="NB5" s="699"/>
      <c r="NC5" s="699"/>
      <c r="ND5" s="699"/>
      <c r="NE5" s="699"/>
      <c r="NF5" s="699"/>
      <c r="NG5" s="699"/>
      <c r="NH5" s="699"/>
      <c r="NI5" s="699"/>
      <c r="NJ5" s="699"/>
      <c r="NK5" s="699"/>
      <c r="NL5" s="699"/>
      <c r="NM5" s="699"/>
      <c r="NN5" s="699"/>
      <c r="NO5" s="699"/>
      <c r="NP5" s="699"/>
      <c r="NQ5" s="699"/>
      <c r="NR5" s="699"/>
      <c r="NS5" s="699"/>
      <c r="NT5" s="699"/>
      <c r="NU5" s="699"/>
      <c r="NV5" s="699"/>
      <c r="NW5" s="699"/>
      <c r="NX5" s="699"/>
      <c r="NY5" s="699"/>
      <c r="NZ5" s="699"/>
      <c r="OA5" s="699"/>
      <c r="OB5" s="699"/>
      <c r="OC5" s="699"/>
      <c r="OD5" s="699"/>
      <c r="OE5" s="699"/>
      <c r="OF5" s="699"/>
      <c r="OG5" s="699"/>
      <c r="OH5" s="699"/>
      <c r="OI5" s="699"/>
      <c r="OJ5" s="699"/>
      <c r="OK5" s="699"/>
      <c r="OL5" s="699"/>
      <c r="OM5" s="699"/>
      <c r="ON5" s="699"/>
      <c r="OO5" s="699"/>
      <c r="OP5" s="699"/>
      <c r="OQ5" s="699"/>
      <c r="OR5" s="699"/>
      <c r="OS5" s="699"/>
      <c r="OT5" s="699"/>
      <c r="OU5" s="699"/>
      <c r="OV5" s="699"/>
      <c r="OW5" s="699"/>
      <c r="OX5" s="699"/>
      <c r="OY5" s="699"/>
      <c r="OZ5" s="699"/>
      <c r="PA5" s="699"/>
      <c r="PB5" s="699"/>
      <c r="PC5" s="699"/>
      <c r="PD5" s="699"/>
      <c r="PE5" s="699"/>
      <c r="PF5" s="699"/>
      <c r="PG5" s="699"/>
      <c r="PH5" s="699"/>
      <c r="PI5" s="699"/>
      <c r="PJ5" s="699"/>
      <c r="PK5" s="699"/>
      <c r="PL5" s="699"/>
      <c r="PM5" s="699"/>
      <c r="PN5" s="699"/>
      <c r="PO5" s="699"/>
      <c r="PP5" s="699"/>
      <c r="PQ5" s="699"/>
      <c r="PR5" s="699"/>
      <c r="PS5" s="699"/>
      <c r="PT5" s="699"/>
      <c r="PU5" s="699"/>
      <c r="PV5" s="699"/>
      <c r="PW5" s="699"/>
      <c r="PX5" s="699"/>
      <c r="PY5" s="699"/>
      <c r="PZ5" s="699"/>
      <c r="QA5" s="699"/>
      <c r="QB5" s="699"/>
      <c r="QC5" s="699"/>
      <c r="QD5" s="699"/>
      <c r="QE5" s="699"/>
      <c r="QF5" s="699"/>
      <c r="QG5" s="699"/>
      <c r="QH5" s="699"/>
      <c r="QI5" s="699"/>
      <c r="QJ5" s="699"/>
      <c r="QK5" s="699"/>
      <c r="QL5" s="699"/>
      <c r="QM5" s="699"/>
      <c r="QN5" s="699"/>
      <c r="QO5" s="699"/>
      <c r="QP5" s="699"/>
      <c r="QQ5" s="699"/>
      <c r="QR5" s="699"/>
      <c r="QS5" s="699"/>
      <c r="QT5" s="699"/>
      <c r="QU5" s="699"/>
      <c r="QV5" s="699"/>
      <c r="QW5" s="699"/>
      <c r="QX5" s="699"/>
      <c r="QY5" s="699"/>
      <c r="QZ5" s="699"/>
      <c r="RA5" s="699"/>
      <c r="RB5" s="699"/>
      <c r="RC5" s="699"/>
      <c r="RD5" s="699"/>
      <c r="RE5" s="699"/>
      <c r="RF5" s="699"/>
      <c r="RG5" s="699"/>
      <c r="RH5" s="699"/>
      <c r="RI5" s="699"/>
      <c r="RJ5" s="699"/>
      <c r="RK5" s="699"/>
      <c r="RL5" s="699"/>
      <c r="RM5" s="699"/>
      <c r="RN5" s="699"/>
      <c r="RO5" s="699"/>
      <c r="RP5" s="699"/>
      <c r="RQ5" s="699"/>
      <c r="RR5" s="699"/>
      <c r="RS5" s="699"/>
      <c r="RT5" s="699"/>
      <c r="RU5" s="699"/>
      <c r="RV5" s="699"/>
      <c r="RW5" s="699"/>
      <c r="RX5" s="699"/>
      <c r="RY5" s="699"/>
      <c r="RZ5" s="699"/>
      <c r="SA5" s="699"/>
      <c r="SB5" s="699"/>
      <c r="SC5" s="699"/>
      <c r="SD5" s="699"/>
      <c r="SE5" s="699"/>
    </row>
    <row r="6" spans="1:499" s="700" customFormat="1">
      <c r="A6" s="205"/>
      <c r="B6" s="205"/>
      <c r="C6" s="704" t="s">
        <v>467</v>
      </c>
      <c r="D6" s="705"/>
      <c r="E6" s="706" t="s">
        <v>469</v>
      </c>
      <c r="F6" s="706"/>
      <c r="G6" s="728" t="s">
        <v>296</v>
      </c>
      <c r="H6" s="704" t="s">
        <v>467</v>
      </c>
      <c r="I6" s="705"/>
      <c r="J6" s="706" t="s">
        <v>469</v>
      </c>
      <c r="K6" s="706"/>
      <c r="L6" s="728" t="s">
        <v>296</v>
      </c>
      <c r="M6" s="704" t="s">
        <v>467</v>
      </c>
      <c r="N6" s="705"/>
      <c r="O6" s="706" t="s">
        <v>469</v>
      </c>
      <c r="P6" s="706"/>
      <c r="Q6" s="728" t="s">
        <v>296</v>
      </c>
      <c r="R6" s="704" t="s">
        <v>467</v>
      </c>
      <c r="S6" s="705"/>
      <c r="T6" s="706" t="s">
        <v>469</v>
      </c>
      <c r="U6" s="706"/>
      <c r="V6" s="728" t="s">
        <v>296</v>
      </c>
      <c r="W6" s="538"/>
      <c r="X6" s="539"/>
      <c r="Y6" s="698"/>
      <c r="Z6" s="698"/>
      <c r="AA6" s="698"/>
      <c r="AB6" s="699"/>
      <c r="AC6" s="699"/>
      <c r="AD6" s="699"/>
      <c r="AE6" s="699"/>
      <c r="AF6" s="699"/>
      <c r="AG6" s="699"/>
      <c r="AH6" s="699"/>
      <c r="AI6" s="699"/>
      <c r="AJ6" s="699"/>
      <c r="AK6" s="699"/>
      <c r="AL6" s="699"/>
      <c r="AM6" s="699"/>
      <c r="AN6" s="699"/>
      <c r="AO6" s="699"/>
      <c r="AP6" s="699"/>
      <c r="AQ6" s="699"/>
      <c r="AR6" s="699"/>
      <c r="AS6" s="699"/>
      <c r="AT6" s="699"/>
      <c r="AU6" s="699"/>
      <c r="AV6" s="699"/>
      <c r="AW6" s="699"/>
      <c r="AX6" s="699"/>
      <c r="AY6" s="699"/>
      <c r="AZ6" s="699"/>
      <c r="BA6" s="699"/>
      <c r="BB6" s="699"/>
      <c r="BC6" s="699"/>
      <c r="BD6" s="699"/>
      <c r="BE6" s="699"/>
      <c r="BF6" s="699"/>
      <c r="BG6" s="699"/>
      <c r="BH6" s="699"/>
      <c r="BI6" s="699"/>
      <c r="BJ6" s="699"/>
      <c r="BK6" s="699"/>
      <c r="BL6" s="699"/>
      <c r="BM6" s="699"/>
      <c r="BN6" s="699"/>
      <c r="BO6" s="699"/>
      <c r="BP6" s="699"/>
      <c r="BQ6" s="699"/>
      <c r="BR6" s="699"/>
      <c r="BS6" s="699"/>
      <c r="BT6" s="699"/>
      <c r="BU6" s="699"/>
      <c r="BV6" s="699"/>
      <c r="BW6" s="699"/>
      <c r="BX6" s="699"/>
      <c r="BY6" s="699"/>
      <c r="BZ6" s="699"/>
      <c r="CA6" s="699"/>
      <c r="CB6" s="699"/>
      <c r="CC6" s="699"/>
      <c r="CD6" s="699"/>
      <c r="CE6" s="699"/>
      <c r="CF6" s="699"/>
      <c r="CG6" s="699"/>
      <c r="CH6" s="699"/>
      <c r="CI6" s="699"/>
      <c r="CJ6" s="699"/>
      <c r="CK6" s="699"/>
      <c r="CL6" s="699"/>
      <c r="CM6" s="699"/>
      <c r="CN6" s="699"/>
      <c r="CO6" s="699"/>
      <c r="CP6" s="699"/>
      <c r="CQ6" s="699"/>
      <c r="CR6" s="699"/>
      <c r="CS6" s="699"/>
      <c r="CT6" s="699"/>
      <c r="CU6" s="699"/>
      <c r="CV6" s="699"/>
      <c r="CW6" s="699"/>
      <c r="CX6" s="699"/>
      <c r="CY6" s="699"/>
      <c r="CZ6" s="699"/>
      <c r="DA6" s="699"/>
      <c r="DB6" s="699"/>
      <c r="DC6" s="699"/>
      <c r="DD6" s="699"/>
      <c r="DE6" s="699"/>
      <c r="DF6" s="699"/>
      <c r="DG6" s="699"/>
      <c r="DH6" s="699"/>
      <c r="DI6" s="699"/>
      <c r="DJ6" s="699"/>
      <c r="DK6" s="699"/>
      <c r="DL6" s="699"/>
      <c r="DM6" s="699"/>
      <c r="DN6" s="699"/>
      <c r="DO6" s="699"/>
      <c r="DP6" s="699"/>
      <c r="DQ6" s="699"/>
      <c r="DR6" s="699"/>
      <c r="DS6" s="699"/>
      <c r="DT6" s="699"/>
      <c r="DU6" s="699"/>
      <c r="DV6" s="699"/>
      <c r="DW6" s="699"/>
      <c r="DX6" s="699"/>
      <c r="DY6" s="699"/>
      <c r="DZ6" s="699"/>
      <c r="EA6" s="699"/>
      <c r="EB6" s="699"/>
      <c r="EC6" s="699"/>
      <c r="ED6" s="699"/>
      <c r="EE6" s="699"/>
      <c r="EF6" s="699"/>
      <c r="EG6" s="699"/>
      <c r="EH6" s="699"/>
      <c r="EI6" s="699"/>
      <c r="EJ6" s="699"/>
      <c r="EK6" s="699"/>
      <c r="EL6" s="699"/>
      <c r="EM6" s="699"/>
      <c r="EN6" s="699"/>
      <c r="EO6" s="699"/>
      <c r="EP6" s="699"/>
      <c r="EQ6" s="699"/>
      <c r="ER6" s="699"/>
      <c r="ES6" s="699"/>
      <c r="ET6" s="699"/>
      <c r="EU6" s="699"/>
      <c r="EV6" s="699"/>
      <c r="EW6" s="699"/>
      <c r="EX6" s="699"/>
      <c r="EY6" s="699"/>
      <c r="EZ6" s="699"/>
      <c r="FA6" s="699"/>
      <c r="FB6" s="699"/>
      <c r="FC6" s="699"/>
      <c r="FD6" s="699"/>
      <c r="FE6" s="699"/>
      <c r="FF6" s="699"/>
      <c r="FG6" s="699"/>
      <c r="FH6" s="699"/>
      <c r="FI6" s="699"/>
      <c r="FJ6" s="699"/>
      <c r="FK6" s="699"/>
      <c r="FL6" s="699"/>
      <c r="FM6" s="699"/>
      <c r="FN6" s="699"/>
      <c r="FO6" s="699"/>
      <c r="FP6" s="699"/>
      <c r="FQ6" s="699"/>
      <c r="FR6" s="699"/>
      <c r="FS6" s="699"/>
      <c r="FT6" s="699"/>
      <c r="FU6" s="699"/>
      <c r="FV6" s="699"/>
      <c r="FW6" s="699"/>
      <c r="FX6" s="699"/>
      <c r="FY6" s="699"/>
      <c r="FZ6" s="699"/>
      <c r="GA6" s="699"/>
      <c r="GB6" s="699"/>
      <c r="GC6" s="699"/>
      <c r="GD6" s="699"/>
      <c r="GE6" s="699"/>
      <c r="GF6" s="699"/>
      <c r="GG6" s="699"/>
      <c r="GH6" s="699"/>
      <c r="GI6" s="699"/>
      <c r="GJ6" s="699"/>
      <c r="GK6" s="699"/>
      <c r="GL6" s="699"/>
      <c r="GM6" s="699"/>
      <c r="GN6" s="699"/>
      <c r="GO6" s="699"/>
      <c r="GP6" s="699"/>
      <c r="GQ6" s="699"/>
      <c r="GR6" s="699"/>
      <c r="GS6" s="699"/>
      <c r="GT6" s="699"/>
      <c r="GU6" s="699"/>
      <c r="GV6" s="699"/>
      <c r="GW6" s="699"/>
      <c r="GX6" s="699"/>
      <c r="GY6" s="699"/>
      <c r="GZ6" s="699"/>
      <c r="HA6" s="699"/>
      <c r="HB6" s="699"/>
      <c r="HC6" s="699"/>
      <c r="HD6" s="699"/>
      <c r="HE6" s="699"/>
      <c r="HF6" s="699"/>
      <c r="HG6" s="699"/>
      <c r="HH6" s="699"/>
      <c r="HI6" s="699"/>
      <c r="HJ6" s="699"/>
      <c r="HK6" s="699"/>
      <c r="HL6" s="699"/>
      <c r="HM6" s="699"/>
      <c r="HN6" s="699"/>
      <c r="HO6" s="699"/>
      <c r="HP6" s="699"/>
      <c r="HQ6" s="699"/>
      <c r="HR6" s="699"/>
      <c r="HS6" s="699"/>
      <c r="HT6" s="699"/>
      <c r="HU6" s="699"/>
      <c r="HV6" s="699"/>
      <c r="HW6" s="699"/>
      <c r="HX6" s="699"/>
      <c r="HY6" s="699"/>
      <c r="HZ6" s="699"/>
      <c r="IA6" s="699"/>
      <c r="IB6" s="699"/>
      <c r="IC6" s="699"/>
      <c r="ID6" s="699"/>
      <c r="IE6" s="699"/>
      <c r="IF6" s="699"/>
      <c r="IG6" s="699"/>
      <c r="IH6" s="699"/>
      <c r="II6" s="699"/>
      <c r="IJ6" s="699"/>
      <c r="IK6" s="699"/>
      <c r="IL6" s="699"/>
      <c r="IM6" s="699"/>
      <c r="IN6" s="699"/>
      <c r="IO6" s="699"/>
      <c r="IP6" s="699"/>
      <c r="IQ6" s="699"/>
      <c r="IR6" s="699"/>
      <c r="IS6" s="699"/>
      <c r="IT6" s="699"/>
      <c r="IU6" s="699"/>
      <c r="IV6" s="699"/>
      <c r="IW6" s="699"/>
      <c r="IX6" s="699"/>
      <c r="IY6" s="699"/>
      <c r="IZ6" s="699"/>
      <c r="JA6" s="699"/>
      <c r="JB6" s="699"/>
      <c r="JC6" s="699"/>
      <c r="JD6" s="699"/>
      <c r="JE6" s="699"/>
      <c r="JF6" s="699"/>
      <c r="JG6" s="699"/>
      <c r="JH6" s="699"/>
      <c r="JI6" s="699"/>
      <c r="JJ6" s="699"/>
      <c r="JK6" s="699"/>
      <c r="JL6" s="699"/>
      <c r="JM6" s="699"/>
      <c r="JN6" s="699"/>
      <c r="JO6" s="699"/>
      <c r="JP6" s="699"/>
      <c r="JQ6" s="699"/>
      <c r="JR6" s="699"/>
      <c r="JS6" s="699"/>
      <c r="JT6" s="699"/>
      <c r="JU6" s="699"/>
      <c r="JV6" s="699"/>
      <c r="JW6" s="699"/>
      <c r="JX6" s="699"/>
      <c r="JY6" s="699"/>
      <c r="JZ6" s="699"/>
      <c r="KA6" s="699"/>
      <c r="KB6" s="699"/>
      <c r="KC6" s="699"/>
      <c r="KD6" s="699"/>
      <c r="KE6" s="699"/>
      <c r="KF6" s="699"/>
      <c r="KG6" s="699"/>
      <c r="KH6" s="699"/>
      <c r="KI6" s="699"/>
      <c r="KJ6" s="699"/>
      <c r="KK6" s="699"/>
      <c r="KL6" s="699"/>
      <c r="KM6" s="699"/>
      <c r="KN6" s="699"/>
      <c r="KO6" s="699"/>
      <c r="KP6" s="699"/>
      <c r="KQ6" s="699"/>
      <c r="KR6" s="699"/>
      <c r="KS6" s="699"/>
      <c r="KT6" s="699"/>
      <c r="KU6" s="699"/>
      <c r="KV6" s="699"/>
      <c r="KW6" s="699"/>
      <c r="KX6" s="699"/>
      <c r="KY6" s="699"/>
      <c r="KZ6" s="699"/>
      <c r="LA6" s="699"/>
      <c r="LB6" s="699"/>
      <c r="LC6" s="699"/>
      <c r="LD6" s="699"/>
      <c r="LE6" s="699"/>
      <c r="LF6" s="699"/>
      <c r="LG6" s="699"/>
      <c r="LH6" s="699"/>
      <c r="LI6" s="699"/>
      <c r="LJ6" s="699"/>
      <c r="LK6" s="699"/>
      <c r="LL6" s="699"/>
      <c r="LM6" s="699"/>
      <c r="LN6" s="699"/>
      <c r="LO6" s="699"/>
      <c r="LP6" s="699"/>
      <c r="LQ6" s="699"/>
      <c r="LR6" s="699"/>
      <c r="LS6" s="699"/>
      <c r="LT6" s="699"/>
      <c r="LU6" s="699"/>
      <c r="LV6" s="699"/>
      <c r="LW6" s="699"/>
      <c r="LX6" s="699"/>
      <c r="LY6" s="699"/>
      <c r="LZ6" s="699"/>
      <c r="MA6" s="699"/>
      <c r="MB6" s="699"/>
      <c r="MC6" s="699"/>
      <c r="MD6" s="699"/>
      <c r="ME6" s="699"/>
      <c r="MF6" s="699"/>
      <c r="MG6" s="699"/>
      <c r="MH6" s="699"/>
      <c r="MI6" s="699"/>
      <c r="MJ6" s="699"/>
      <c r="MK6" s="699"/>
      <c r="ML6" s="699"/>
      <c r="MM6" s="699"/>
      <c r="MN6" s="699"/>
      <c r="MO6" s="699"/>
      <c r="MP6" s="699"/>
      <c r="MQ6" s="699"/>
      <c r="MR6" s="699"/>
      <c r="MS6" s="699"/>
      <c r="MT6" s="699"/>
      <c r="MU6" s="699"/>
      <c r="MV6" s="699"/>
      <c r="MW6" s="699"/>
      <c r="MX6" s="699"/>
      <c r="MY6" s="699"/>
      <c r="MZ6" s="699"/>
      <c r="NA6" s="699"/>
      <c r="NB6" s="699"/>
      <c r="NC6" s="699"/>
      <c r="ND6" s="699"/>
      <c r="NE6" s="699"/>
      <c r="NF6" s="699"/>
      <c r="NG6" s="699"/>
      <c r="NH6" s="699"/>
      <c r="NI6" s="699"/>
      <c r="NJ6" s="699"/>
      <c r="NK6" s="699"/>
      <c r="NL6" s="699"/>
      <c r="NM6" s="699"/>
      <c r="NN6" s="699"/>
      <c r="NO6" s="699"/>
      <c r="NP6" s="699"/>
      <c r="NQ6" s="699"/>
      <c r="NR6" s="699"/>
      <c r="NS6" s="699"/>
      <c r="NT6" s="699"/>
      <c r="NU6" s="699"/>
      <c r="NV6" s="699"/>
      <c r="NW6" s="699"/>
      <c r="NX6" s="699"/>
      <c r="NY6" s="699"/>
      <c r="NZ6" s="699"/>
      <c r="OA6" s="699"/>
      <c r="OB6" s="699"/>
      <c r="OC6" s="699"/>
      <c r="OD6" s="699"/>
      <c r="OE6" s="699"/>
      <c r="OF6" s="699"/>
      <c r="OG6" s="699"/>
      <c r="OH6" s="699"/>
      <c r="OI6" s="699"/>
      <c r="OJ6" s="699"/>
      <c r="OK6" s="699"/>
      <c r="OL6" s="699"/>
      <c r="OM6" s="699"/>
      <c r="ON6" s="699"/>
      <c r="OO6" s="699"/>
      <c r="OP6" s="699"/>
      <c r="OQ6" s="699"/>
      <c r="OR6" s="699"/>
      <c r="OS6" s="699"/>
      <c r="OT6" s="699"/>
      <c r="OU6" s="699"/>
      <c r="OV6" s="699"/>
      <c r="OW6" s="699"/>
      <c r="OX6" s="699"/>
      <c r="OY6" s="699"/>
      <c r="OZ6" s="699"/>
      <c r="PA6" s="699"/>
      <c r="PB6" s="699"/>
      <c r="PC6" s="699"/>
      <c r="PD6" s="699"/>
      <c r="PE6" s="699"/>
      <c r="PF6" s="699"/>
      <c r="PG6" s="699"/>
      <c r="PH6" s="699"/>
      <c r="PI6" s="699"/>
      <c r="PJ6" s="699"/>
      <c r="PK6" s="699"/>
      <c r="PL6" s="699"/>
      <c r="PM6" s="699"/>
      <c r="PN6" s="699"/>
      <c r="PO6" s="699"/>
      <c r="PP6" s="699"/>
      <c r="PQ6" s="699"/>
      <c r="PR6" s="699"/>
      <c r="PS6" s="699"/>
      <c r="PT6" s="699"/>
      <c r="PU6" s="699"/>
      <c r="PV6" s="699"/>
      <c r="PW6" s="699"/>
      <c r="PX6" s="699"/>
      <c r="PY6" s="699"/>
      <c r="PZ6" s="699"/>
      <c r="QA6" s="699"/>
      <c r="QB6" s="699"/>
      <c r="QC6" s="699"/>
      <c r="QD6" s="699"/>
      <c r="QE6" s="699"/>
      <c r="QF6" s="699"/>
      <c r="QG6" s="699"/>
      <c r="QH6" s="699"/>
      <c r="QI6" s="699"/>
      <c r="QJ6" s="699"/>
      <c r="QK6" s="699"/>
      <c r="QL6" s="699"/>
      <c r="QM6" s="699"/>
      <c r="QN6" s="699"/>
      <c r="QO6" s="699"/>
      <c r="QP6" s="699"/>
      <c r="QQ6" s="699"/>
      <c r="QR6" s="699"/>
      <c r="QS6" s="699"/>
      <c r="QT6" s="699"/>
      <c r="QU6" s="699"/>
      <c r="QV6" s="699"/>
      <c r="QW6" s="699"/>
      <c r="QX6" s="699"/>
      <c r="QY6" s="699"/>
      <c r="QZ6" s="699"/>
      <c r="RA6" s="699"/>
      <c r="RB6" s="699"/>
      <c r="RC6" s="699"/>
      <c r="RD6" s="699"/>
      <c r="RE6" s="699"/>
      <c r="RF6" s="699"/>
      <c r="RG6" s="699"/>
      <c r="RH6" s="699"/>
      <c r="RI6" s="699"/>
      <c r="RJ6" s="699"/>
      <c r="RK6" s="699"/>
      <c r="RL6" s="699"/>
      <c r="RM6" s="699"/>
      <c r="RN6" s="699"/>
      <c r="RO6" s="699"/>
      <c r="RP6" s="699"/>
      <c r="RQ6" s="699"/>
      <c r="RR6" s="699"/>
      <c r="RS6" s="699"/>
      <c r="RT6" s="699"/>
      <c r="RU6" s="699"/>
      <c r="RV6" s="699"/>
      <c r="RW6" s="699"/>
      <c r="RX6" s="699"/>
      <c r="RY6" s="699"/>
      <c r="RZ6" s="699"/>
      <c r="SA6" s="699"/>
      <c r="SB6" s="699"/>
      <c r="SC6" s="699"/>
      <c r="SD6" s="699"/>
      <c r="SE6" s="699"/>
    </row>
    <row r="7" spans="1:499" s="700" customFormat="1" ht="15.75" thickBot="1">
      <c r="A7" s="659" t="s">
        <v>267</v>
      </c>
      <c r="B7" s="659"/>
      <c r="C7" s="701" t="s">
        <v>468</v>
      </c>
      <c r="D7" s="702"/>
      <c r="E7" s="703" t="s">
        <v>470</v>
      </c>
      <c r="F7" s="703"/>
      <c r="G7" s="729"/>
      <c r="H7" s="701" t="s">
        <v>468</v>
      </c>
      <c r="I7" s="702"/>
      <c r="J7" s="703" t="s">
        <v>470</v>
      </c>
      <c r="K7" s="703"/>
      <c r="L7" s="729"/>
      <c r="M7" s="701" t="s">
        <v>468</v>
      </c>
      <c r="N7" s="702"/>
      <c r="O7" s="703" t="s">
        <v>470</v>
      </c>
      <c r="P7" s="703"/>
      <c r="Q7" s="729"/>
      <c r="R7" s="701" t="s">
        <v>468</v>
      </c>
      <c r="S7" s="702"/>
      <c r="T7" s="703" t="s">
        <v>470</v>
      </c>
      <c r="U7" s="703"/>
      <c r="V7" s="729"/>
      <c r="W7" s="538"/>
      <c r="X7" s="539"/>
      <c r="Y7" s="698"/>
      <c r="Z7" s="698"/>
      <c r="AA7" s="698"/>
      <c r="AB7" s="699"/>
      <c r="AC7" s="699"/>
      <c r="AD7" s="699"/>
      <c r="AE7" s="699"/>
      <c r="AF7" s="699"/>
      <c r="AG7" s="699"/>
      <c r="AH7" s="699"/>
      <c r="AI7" s="699"/>
      <c r="AJ7" s="699"/>
      <c r="AK7" s="699"/>
      <c r="AL7" s="699"/>
      <c r="AM7" s="699"/>
      <c r="AN7" s="699"/>
      <c r="AO7" s="699"/>
      <c r="AP7" s="699"/>
      <c r="AQ7" s="699"/>
      <c r="AR7" s="699"/>
      <c r="AS7" s="699"/>
      <c r="AT7" s="699"/>
      <c r="AU7" s="699"/>
      <c r="AV7" s="699"/>
      <c r="AW7" s="699"/>
      <c r="AX7" s="699"/>
      <c r="AY7" s="699"/>
      <c r="AZ7" s="699"/>
      <c r="BA7" s="699"/>
      <c r="BB7" s="699"/>
      <c r="BC7" s="699"/>
      <c r="BD7" s="699"/>
      <c r="BE7" s="699"/>
      <c r="BF7" s="699"/>
      <c r="BG7" s="699"/>
      <c r="BH7" s="699"/>
      <c r="BI7" s="699"/>
      <c r="BJ7" s="699"/>
      <c r="BK7" s="699"/>
      <c r="BL7" s="699"/>
      <c r="BM7" s="699"/>
      <c r="BN7" s="699"/>
      <c r="BO7" s="699"/>
      <c r="BP7" s="699"/>
      <c r="BQ7" s="699"/>
      <c r="BR7" s="699"/>
      <c r="BS7" s="699"/>
      <c r="BT7" s="699"/>
      <c r="BU7" s="699"/>
      <c r="BV7" s="699"/>
      <c r="BW7" s="699"/>
      <c r="BX7" s="699"/>
      <c r="BY7" s="699"/>
      <c r="BZ7" s="699"/>
      <c r="CA7" s="699"/>
      <c r="CB7" s="699"/>
      <c r="CC7" s="699"/>
      <c r="CD7" s="699"/>
      <c r="CE7" s="699"/>
      <c r="CF7" s="699"/>
      <c r="CG7" s="699"/>
      <c r="CH7" s="699"/>
      <c r="CI7" s="699"/>
      <c r="CJ7" s="699"/>
      <c r="CK7" s="699"/>
      <c r="CL7" s="699"/>
      <c r="CM7" s="699"/>
      <c r="CN7" s="699"/>
      <c r="CO7" s="699"/>
      <c r="CP7" s="699"/>
      <c r="CQ7" s="699"/>
      <c r="CR7" s="699"/>
      <c r="CS7" s="699"/>
      <c r="CT7" s="699"/>
      <c r="CU7" s="699"/>
      <c r="CV7" s="699"/>
      <c r="CW7" s="699"/>
      <c r="CX7" s="699"/>
      <c r="CY7" s="699"/>
      <c r="CZ7" s="699"/>
      <c r="DA7" s="699"/>
      <c r="DB7" s="699"/>
      <c r="DC7" s="699"/>
      <c r="DD7" s="699"/>
      <c r="DE7" s="699"/>
      <c r="DF7" s="699"/>
      <c r="DG7" s="699"/>
      <c r="DH7" s="699"/>
      <c r="DI7" s="699"/>
      <c r="DJ7" s="699"/>
      <c r="DK7" s="699"/>
      <c r="DL7" s="699"/>
      <c r="DM7" s="699"/>
      <c r="DN7" s="699"/>
      <c r="DO7" s="699"/>
      <c r="DP7" s="699"/>
      <c r="DQ7" s="699"/>
      <c r="DR7" s="699"/>
      <c r="DS7" s="699"/>
      <c r="DT7" s="699"/>
      <c r="DU7" s="699"/>
      <c r="DV7" s="699"/>
      <c r="DW7" s="699"/>
      <c r="DX7" s="699"/>
      <c r="DY7" s="699"/>
      <c r="DZ7" s="699"/>
      <c r="EA7" s="699"/>
      <c r="EB7" s="699"/>
      <c r="EC7" s="699"/>
      <c r="ED7" s="699"/>
      <c r="EE7" s="699"/>
      <c r="EF7" s="699"/>
      <c r="EG7" s="699"/>
      <c r="EH7" s="699"/>
      <c r="EI7" s="699"/>
      <c r="EJ7" s="699"/>
      <c r="EK7" s="699"/>
      <c r="EL7" s="699"/>
      <c r="EM7" s="699"/>
      <c r="EN7" s="699"/>
      <c r="EO7" s="699"/>
      <c r="EP7" s="699"/>
      <c r="EQ7" s="699"/>
      <c r="ER7" s="699"/>
      <c r="ES7" s="699"/>
      <c r="ET7" s="699"/>
      <c r="EU7" s="699"/>
      <c r="EV7" s="699"/>
      <c r="EW7" s="699"/>
      <c r="EX7" s="699"/>
      <c r="EY7" s="699"/>
      <c r="EZ7" s="699"/>
      <c r="FA7" s="699"/>
      <c r="FB7" s="699"/>
      <c r="FC7" s="699"/>
      <c r="FD7" s="699"/>
      <c r="FE7" s="699"/>
      <c r="FF7" s="699"/>
      <c r="FG7" s="699"/>
      <c r="FH7" s="699"/>
      <c r="FI7" s="699"/>
      <c r="FJ7" s="699"/>
      <c r="FK7" s="699"/>
      <c r="FL7" s="699"/>
      <c r="FM7" s="699"/>
      <c r="FN7" s="699"/>
      <c r="FO7" s="699"/>
      <c r="FP7" s="699"/>
      <c r="FQ7" s="699"/>
      <c r="FR7" s="699"/>
      <c r="FS7" s="699"/>
      <c r="FT7" s="699"/>
      <c r="FU7" s="699"/>
      <c r="FV7" s="699"/>
      <c r="FW7" s="699"/>
      <c r="FX7" s="699"/>
      <c r="FY7" s="699"/>
      <c r="FZ7" s="699"/>
      <c r="GA7" s="699"/>
      <c r="GB7" s="699"/>
      <c r="GC7" s="699"/>
      <c r="GD7" s="699"/>
      <c r="GE7" s="699"/>
      <c r="GF7" s="699"/>
      <c r="GG7" s="699"/>
      <c r="GH7" s="699"/>
      <c r="GI7" s="699"/>
      <c r="GJ7" s="699"/>
      <c r="GK7" s="699"/>
      <c r="GL7" s="699"/>
      <c r="GM7" s="699"/>
      <c r="GN7" s="699"/>
      <c r="GO7" s="699"/>
      <c r="GP7" s="699"/>
      <c r="GQ7" s="699"/>
      <c r="GR7" s="699"/>
      <c r="GS7" s="699"/>
      <c r="GT7" s="699"/>
      <c r="GU7" s="699"/>
      <c r="GV7" s="699"/>
      <c r="GW7" s="699"/>
      <c r="GX7" s="699"/>
      <c r="GY7" s="699"/>
      <c r="GZ7" s="699"/>
      <c r="HA7" s="699"/>
      <c r="HB7" s="699"/>
      <c r="HC7" s="699"/>
      <c r="HD7" s="699"/>
      <c r="HE7" s="699"/>
      <c r="HF7" s="699"/>
      <c r="HG7" s="699"/>
      <c r="HH7" s="699"/>
      <c r="HI7" s="699"/>
      <c r="HJ7" s="699"/>
      <c r="HK7" s="699"/>
      <c r="HL7" s="699"/>
      <c r="HM7" s="699"/>
      <c r="HN7" s="699"/>
      <c r="HO7" s="699"/>
      <c r="HP7" s="699"/>
      <c r="HQ7" s="699"/>
      <c r="HR7" s="699"/>
      <c r="HS7" s="699"/>
      <c r="HT7" s="699"/>
      <c r="HU7" s="699"/>
      <c r="HV7" s="699"/>
      <c r="HW7" s="699"/>
      <c r="HX7" s="699"/>
      <c r="HY7" s="699"/>
      <c r="HZ7" s="699"/>
      <c r="IA7" s="699"/>
      <c r="IB7" s="699"/>
      <c r="IC7" s="699"/>
      <c r="ID7" s="699"/>
      <c r="IE7" s="699"/>
      <c r="IF7" s="699"/>
      <c r="IG7" s="699"/>
      <c r="IH7" s="699"/>
      <c r="II7" s="699"/>
      <c r="IJ7" s="699"/>
      <c r="IK7" s="699"/>
      <c r="IL7" s="699"/>
      <c r="IM7" s="699"/>
      <c r="IN7" s="699"/>
      <c r="IO7" s="699"/>
      <c r="IP7" s="699"/>
      <c r="IQ7" s="699"/>
      <c r="IR7" s="699"/>
      <c r="IS7" s="699"/>
      <c r="IT7" s="699"/>
      <c r="IU7" s="699"/>
      <c r="IV7" s="699"/>
      <c r="IW7" s="699"/>
      <c r="IX7" s="699"/>
      <c r="IY7" s="699"/>
      <c r="IZ7" s="699"/>
      <c r="JA7" s="699"/>
      <c r="JB7" s="699"/>
      <c r="JC7" s="699"/>
      <c r="JD7" s="699"/>
      <c r="JE7" s="699"/>
      <c r="JF7" s="699"/>
      <c r="JG7" s="699"/>
      <c r="JH7" s="699"/>
      <c r="JI7" s="699"/>
      <c r="JJ7" s="699"/>
      <c r="JK7" s="699"/>
      <c r="JL7" s="699"/>
      <c r="JM7" s="699"/>
      <c r="JN7" s="699"/>
      <c r="JO7" s="699"/>
      <c r="JP7" s="699"/>
      <c r="JQ7" s="699"/>
      <c r="JR7" s="699"/>
      <c r="JS7" s="699"/>
      <c r="JT7" s="699"/>
      <c r="JU7" s="699"/>
      <c r="JV7" s="699"/>
      <c r="JW7" s="699"/>
      <c r="JX7" s="699"/>
      <c r="JY7" s="699"/>
      <c r="JZ7" s="699"/>
      <c r="KA7" s="699"/>
      <c r="KB7" s="699"/>
      <c r="KC7" s="699"/>
      <c r="KD7" s="699"/>
      <c r="KE7" s="699"/>
      <c r="KF7" s="699"/>
      <c r="KG7" s="699"/>
      <c r="KH7" s="699"/>
      <c r="KI7" s="699"/>
      <c r="KJ7" s="699"/>
      <c r="KK7" s="699"/>
      <c r="KL7" s="699"/>
      <c r="KM7" s="699"/>
      <c r="KN7" s="699"/>
      <c r="KO7" s="699"/>
      <c r="KP7" s="699"/>
      <c r="KQ7" s="699"/>
      <c r="KR7" s="699"/>
      <c r="KS7" s="699"/>
      <c r="KT7" s="699"/>
      <c r="KU7" s="699"/>
      <c r="KV7" s="699"/>
      <c r="KW7" s="699"/>
      <c r="KX7" s="699"/>
      <c r="KY7" s="699"/>
      <c r="KZ7" s="699"/>
      <c r="LA7" s="699"/>
      <c r="LB7" s="699"/>
      <c r="LC7" s="699"/>
      <c r="LD7" s="699"/>
      <c r="LE7" s="699"/>
      <c r="LF7" s="699"/>
      <c r="LG7" s="699"/>
      <c r="LH7" s="699"/>
      <c r="LI7" s="699"/>
      <c r="LJ7" s="699"/>
      <c r="LK7" s="699"/>
      <c r="LL7" s="699"/>
      <c r="LM7" s="699"/>
      <c r="LN7" s="699"/>
      <c r="LO7" s="699"/>
      <c r="LP7" s="699"/>
      <c r="LQ7" s="699"/>
      <c r="LR7" s="699"/>
      <c r="LS7" s="699"/>
      <c r="LT7" s="699"/>
      <c r="LU7" s="699"/>
      <c r="LV7" s="699"/>
      <c r="LW7" s="699"/>
      <c r="LX7" s="699"/>
      <c r="LY7" s="699"/>
      <c r="LZ7" s="699"/>
      <c r="MA7" s="699"/>
      <c r="MB7" s="699"/>
      <c r="MC7" s="699"/>
      <c r="MD7" s="699"/>
      <c r="ME7" s="699"/>
      <c r="MF7" s="699"/>
      <c r="MG7" s="699"/>
      <c r="MH7" s="699"/>
      <c r="MI7" s="699"/>
      <c r="MJ7" s="699"/>
      <c r="MK7" s="699"/>
      <c r="ML7" s="699"/>
      <c r="MM7" s="699"/>
      <c r="MN7" s="699"/>
      <c r="MO7" s="699"/>
      <c r="MP7" s="699"/>
      <c r="MQ7" s="699"/>
      <c r="MR7" s="699"/>
      <c r="MS7" s="699"/>
      <c r="MT7" s="699"/>
      <c r="MU7" s="699"/>
      <c r="MV7" s="699"/>
      <c r="MW7" s="699"/>
      <c r="MX7" s="699"/>
      <c r="MY7" s="699"/>
      <c r="MZ7" s="699"/>
      <c r="NA7" s="699"/>
      <c r="NB7" s="699"/>
      <c r="NC7" s="699"/>
      <c r="ND7" s="699"/>
      <c r="NE7" s="699"/>
      <c r="NF7" s="699"/>
      <c r="NG7" s="699"/>
      <c r="NH7" s="699"/>
      <c r="NI7" s="699"/>
      <c r="NJ7" s="699"/>
      <c r="NK7" s="699"/>
      <c r="NL7" s="699"/>
      <c r="NM7" s="699"/>
      <c r="NN7" s="699"/>
      <c r="NO7" s="699"/>
      <c r="NP7" s="699"/>
      <c r="NQ7" s="699"/>
      <c r="NR7" s="699"/>
      <c r="NS7" s="699"/>
      <c r="NT7" s="699"/>
      <c r="NU7" s="699"/>
      <c r="NV7" s="699"/>
      <c r="NW7" s="699"/>
      <c r="NX7" s="699"/>
      <c r="NY7" s="699"/>
      <c r="NZ7" s="699"/>
      <c r="OA7" s="699"/>
      <c r="OB7" s="699"/>
      <c r="OC7" s="699"/>
      <c r="OD7" s="699"/>
      <c r="OE7" s="699"/>
      <c r="OF7" s="699"/>
      <c r="OG7" s="699"/>
      <c r="OH7" s="699"/>
      <c r="OI7" s="699"/>
      <c r="OJ7" s="699"/>
      <c r="OK7" s="699"/>
      <c r="OL7" s="699"/>
      <c r="OM7" s="699"/>
      <c r="ON7" s="699"/>
      <c r="OO7" s="699"/>
      <c r="OP7" s="699"/>
      <c r="OQ7" s="699"/>
      <c r="OR7" s="699"/>
      <c r="OS7" s="699"/>
      <c r="OT7" s="699"/>
      <c r="OU7" s="699"/>
      <c r="OV7" s="699"/>
      <c r="OW7" s="699"/>
      <c r="OX7" s="699"/>
      <c r="OY7" s="699"/>
      <c r="OZ7" s="699"/>
      <c r="PA7" s="699"/>
      <c r="PB7" s="699"/>
      <c r="PC7" s="699"/>
      <c r="PD7" s="699"/>
      <c r="PE7" s="699"/>
      <c r="PF7" s="699"/>
      <c r="PG7" s="699"/>
      <c r="PH7" s="699"/>
      <c r="PI7" s="699"/>
      <c r="PJ7" s="699"/>
      <c r="PK7" s="699"/>
      <c r="PL7" s="699"/>
      <c r="PM7" s="699"/>
      <c r="PN7" s="699"/>
      <c r="PO7" s="699"/>
      <c r="PP7" s="699"/>
      <c r="PQ7" s="699"/>
      <c r="PR7" s="699"/>
      <c r="PS7" s="699"/>
      <c r="PT7" s="699"/>
      <c r="PU7" s="699"/>
      <c r="PV7" s="699"/>
      <c r="PW7" s="699"/>
      <c r="PX7" s="699"/>
      <c r="PY7" s="699"/>
      <c r="PZ7" s="699"/>
      <c r="QA7" s="699"/>
      <c r="QB7" s="699"/>
      <c r="QC7" s="699"/>
      <c r="QD7" s="699"/>
      <c r="QE7" s="699"/>
      <c r="QF7" s="699"/>
      <c r="QG7" s="699"/>
      <c r="QH7" s="699"/>
      <c r="QI7" s="699"/>
      <c r="QJ7" s="699"/>
      <c r="QK7" s="699"/>
      <c r="QL7" s="699"/>
      <c r="QM7" s="699"/>
      <c r="QN7" s="699"/>
      <c r="QO7" s="699"/>
      <c r="QP7" s="699"/>
      <c r="QQ7" s="699"/>
      <c r="QR7" s="699"/>
      <c r="QS7" s="699"/>
      <c r="QT7" s="699"/>
      <c r="QU7" s="699"/>
      <c r="QV7" s="699"/>
      <c r="QW7" s="699"/>
      <c r="QX7" s="699"/>
      <c r="QY7" s="699"/>
      <c r="QZ7" s="699"/>
      <c r="RA7" s="699"/>
      <c r="RB7" s="699"/>
      <c r="RC7" s="699"/>
      <c r="RD7" s="699"/>
      <c r="RE7" s="699"/>
      <c r="RF7" s="699"/>
      <c r="RG7" s="699"/>
      <c r="RH7" s="699"/>
      <c r="RI7" s="699"/>
      <c r="RJ7" s="699"/>
      <c r="RK7" s="699"/>
      <c r="RL7" s="699"/>
      <c r="RM7" s="699"/>
      <c r="RN7" s="699"/>
      <c r="RO7" s="699"/>
      <c r="RP7" s="699"/>
      <c r="RQ7" s="699"/>
      <c r="RR7" s="699"/>
      <c r="RS7" s="699"/>
      <c r="RT7" s="699"/>
      <c r="RU7" s="699"/>
      <c r="RV7" s="699"/>
      <c r="RW7" s="699"/>
      <c r="RX7" s="699"/>
      <c r="RY7" s="699"/>
      <c r="RZ7" s="699"/>
      <c r="SA7" s="699"/>
      <c r="SB7" s="699"/>
      <c r="SC7" s="699"/>
      <c r="SD7" s="699"/>
      <c r="SE7" s="699"/>
    </row>
    <row r="8" spans="1:499" s="377" customFormat="1" ht="20.25" customHeight="1">
      <c r="A8" s="566" t="s">
        <v>105</v>
      </c>
      <c r="B8" s="660" t="s">
        <v>286</v>
      </c>
      <c r="C8" s="473">
        <v>2438.8000000000002</v>
      </c>
      <c r="D8" s="575"/>
      <c r="E8" s="578">
        <v>2385.5</v>
      </c>
      <c r="F8" s="451"/>
      <c r="G8" s="474">
        <f>C8-E8</f>
        <v>53.300000000000182</v>
      </c>
      <c r="H8" s="473">
        <v>409.7</v>
      </c>
      <c r="I8" s="466"/>
      <c r="J8" s="578">
        <v>406.1</v>
      </c>
      <c r="K8" s="457"/>
      <c r="L8" s="474">
        <f>H8-J8</f>
        <v>3.5999999999999659</v>
      </c>
      <c r="M8" s="473">
        <v>0</v>
      </c>
      <c r="N8" s="470"/>
      <c r="O8" s="578">
        <v>0</v>
      </c>
      <c r="P8" s="471"/>
      <c r="Q8" s="474">
        <f>M8-O8</f>
        <v>0</v>
      </c>
      <c r="R8" s="473">
        <f>C8+H8+M8</f>
        <v>2848.5</v>
      </c>
      <c r="S8" s="431"/>
      <c r="T8" s="578">
        <f>E8+J8+O8</f>
        <v>2791.6</v>
      </c>
      <c r="U8" s="380"/>
      <c r="V8" s="249">
        <f>R8-T8</f>
        <v>56.900000000000091</v>
      </c>
      <c r="W8" s="540"/>
      <c r="X8" s="541"/>
      <c r="Y8" s="381"/>
      <c r="Z8" s="381"/>
      <c r="AA8" s="378"/>
      <c r="AB8" s="376"/>
      <c r="AC8" s="376"/>
      <c r="AD8" s="376"/>
      <c r="AE8" s="376"/>
      <c r="AF8" s="376"/>
      <c r="AG8" s="376"/>
      <c r="AH8" s="376"/>
      <c r="AI8" s="376"/>
      <c r="AJ8" s="376"/>
      <c r="AK8" s="376"/>
      <c r="AL8" s="376"/>
      <c r="AM8" s="376"/>
      <c r="AN8" s="376"/>
      <c r="AO8" s="376"/>
      <c r="AP8" s="376"/>
      <c r="AQ8" s="376"/>
      <c r="AR8" s="376"/>
      <c r="AS8" s="376"/>
      <c r="AT8" s="376"/>
      <c r="AU8" s="376"/>
      <c r="AV8" s="376"/>
      <c r="AW8" s="376"/>
      <c r="AX8" s="376"/>
      <c r="AY8" s="376"/>
      <c r="AZ8" s="376"/>
      <c r="BA8" s="376"/>
      <c r="BB8" s="376"/>
      <c r="BC8" s="376"/>
      <c r="BD8" s="376"/>
      <c r="BE8" s="376"/>
      <c r="BF8" s="376"/>
      <c r="BG8" s="376"/>
      <c r="BH8" s="376"/>
      <c r="BI8" s="376"/>
      <c r="BJ8" s="376"/>
      <c r="BK8" s="376"/>
      <c r="BL8" s="376"/>
      <c r="BM8" s="376"/>
      <c r="BN8" s="376"/>
      <c r="BO8" s="376"/>
      <c r="BP8" s="376"/>
      <c r="BQ8" s="376"/>
      <c r="BR8" s="376"/>
      <c r="BS8" s="376"/>
      <c r="BT8" s="376"/>
      <c r="BU8" s="376"/>
      <c r="BV8" s="376"/>
      <c r="BW8" s="376"/>
      <c r="BX8" s="376"/>
      <c r="BY8" s="376"/>
      <c r="BZ8" s="376"/>
      <c r="CA8" s="376"/>
      <c r="CB8" s="376"/>
      <c r="CC8" s="376"/>
      <c r="CD8" s="376"/>
      <c r="CE8" s="376"/>
      <c r="CF8" s="376"/>
      <c r="CG8" s="376"/>
      <c r="CH8" s="376"/>
      <c r="CI8" s="376"/>
      <c r="CJ8" s="376"/>
      <c r="CK8" s="376"/>
      <c r="CL8" s="376"/>
      <c r="CM8" s="376"/>
      <c r="CN8" s="376"/>
      <c r="CO8" s="376"/>
      <c r="CP8" s="376"/>
      <c r="CQ8" s="376"/>
      <c r="CR8" s="376"/>
      <c r="CS8" s="376"/>
      <c r="CT8" s="376"/>
      <c r="CU8" s="376"/>
      <c r="CV8" s="376"/>
      <c r="CW8" s="376"/>
      <c r="CX8" s="376"/>
      <c r="CY8" s="376"/>
      <c r="CZ8" s="376"/>
      <c r="DA8" s="376"/>
      <c r="DB8" s="376"/>
      <c r="DC8" s="376"/>
      <c r="DD8" s="376"/>
      <c r="DE8" s="376"/>
      <c r="DF8" s="376"/>
      <c r="DG8" s="376"/>
      <c r="DH8" s="376"/>
      <c r="DI8" s="376"/>
      <c r="DJ8" s="376"/>
      <c r="DK8" s="376"/>
      <c r="DL8" s="376"/>
      <c r="DM8" s="376"/>
      <c r="DN8" s="376"/>
      <c r="DO8" s="376"/>
      <c r="DP8" s="376"/>
      <c r="DQ8" s="376"/>
      <c r="DR8" s="376"/>
      <c r="DS8" s="376"/>
      <c r="DT8" s="376"/>
      <c r="DU8" s="376"/>
      <c r="DV8" s="376"/>
      <c r="DW8" s="376"/>
      <c r="DX8" s="376"/>
      <c r="DY8" s="376"/>
      <c r="DZ8" s="376"/>
      <c r="EA8" s="376"/>
      <c r="EB8" s="376"/>
      <c r="EC8" s="376"/>
      <c r="ED8" s="376"/>
      <c r="EE8" s="376"/>
      <c r="EF8" s="376"/>
      <c r="EG8" s="376"/>
      <c r="EH8" s="376"/>
      <c r="EI8" s="376"/>
      <c r="EJ8" s="376"/>
      <c r="EK8" s="376"/>
      <c r="EL8" s="376"/>
      <c r="EM8" s="376"/>
      <c r="EN8" s="376"/>
      <c r="EO8" s="376"/>
      <c r="EP8" s="376"/>
      <c r="EQ8" s="376"/>
      <c r="ER8" s="376"/>
      <c r="ES8" s="376"/>
      <c r="ET8" s="376"/>
      <c r="EU8" s="376"/>
      <c r="EV8" s="376"/>
      <c r="EW8" s="376"/>
      <c r="EX8" s="376"/>
      <c r="EY8" s="376"/>
      <c r="EZ8" s="376"/>
      <c r="FA8" s="376"/>
      <c r="FB8" s="376"/>
      <c r="FC8" s="376"/>
      <c r="FD8" s="376"/>
      <c r="FE8" s="376"/>
      <c r="FF8" s="376"/>
      <c r="FG8" s="376"/>
      <c r="FH8" s="376"/>
      <c r="FI8" s="376"/>
      <c r="FJ8" s="376"/>
      <c r="FK8" s="376"/>
      <c r="FL8" s="376"/>
      <c r="FM8" s="376"/>
      <c r="FN8" s="376"/>
      <c r="FO8" s="376"/>
      <c r="FP8" s="376"/>
      <c r="FQ8" s="376"/>
      <c r="FR8" s="376"/>
      <c r="FS8" s="376"/>
      <c r="FT8" s="376"/>
      <c r="FU8" s="376"/>
      <c r="FV8" s="376"/>
      <c r="FW8" s="376"/>
      <c r="FX8" s="376"/>
      <c r="FY8" s="376"/>
      <c r="FZ8" s="376"/>
      <c r="GA8" s="376"/>
      <c r="GB8" s="376"/>
      <c r="GC8" s="376"/>
      <c r="GD8" s="376"/>
      <c r="GE8" s="376"/>
      <c r="GF8" s="376"/>
      <c r="GG8" s="376"/>
      <c r="GH8" s="376"/>
      <c r="GI8" s="376"/>
      <c r="GJ8" s="376"/>
      <c r="GK8" s="376"/>
      <c r="GL8" s="376"/>
      <c r="GM8" s="376"/>
      <c r="GN8" s="376"/>
      <c r="GO8" s="376"/>
      <c r="GP8" s="376"/>
      <c r="GQ8" s="376"/>
      <c r="GR8" s="376"/>
      <c r="GS8" s="376"/>
      <c r="GT8" s="376"/>
      <c r="GU8" s="376"/>
      <c r="GV8" s="376"/>
      <c r="GW8" s="376"/>
      <c r="GX8" s="376"/>
      <c r="GY8" s="376"/>
      <c r="GZ8" s="376"/>
      <c r="HA8" s="376"/>
      <c r="HB8" s="376"/>
      <c r="HC8" s="376"/>
      <c r="HD8" s="376"/>
      <c r="HE8" s="376"/>
      <c r="HF8" s="376"/>
      <c r="HG8" s="376"/>
      <c r="HH8" s="376"/>
      <c r="HI8" s="376"/>
      <c r="HJ8" s="376"/>
      <c r="HK8" s="376"/>
      <c r="HL8" s="376"/>
      <c r="HM8" s="376"/>
      <c r="HN8" s="376"/>
      <c r="HO8" s="376"/>
      <c r="HP8" s="376"/>
      <c r="HQ8" s="376"/>
      <c r="HR8" s="376"/>
      <c r="HS8" s="376"/>
      <c r="HT8" s="376"/>
      <c r="HU8" s="376"/>
      <c r="HV8" s="376"/>
      <c r="HW8" s="376"/>
      <c r="HX8" s="376"/>
      <c r="HY8" s="376"/>
      <c r="HZ8" s="376"/>
      <c r="IA8" s="376"/>
      <c r="IB8" s="376"/>
      <c r="IC8" s="376"/>
      <c r="ID8" s="376"/>
      <c r="IE8" s="376"/>
      <c r="IF8" s="376"/>
      <c r="IG8" s="376"/>
      <c r="IH8" s="376"/>
      <c r="II8" s="376"/>
      <c r="IJ8" s="376"/>
      <c r="IK8" s="376"/>
      <c r="IL8" s="376"/>
      <c r="IM8" s="376"/>
      <c r="IN8" s="376"/>
      <c r="IO8" s="376"/>
      <c r="IP8" s="376"/>
      <c r="IQ8" s="376"/>
      <c r="IR8" s="376"/>
      <c r="IS8" s="376"/>
      <c r="IT8" s="376"/>
      <c r="IU8" s="376"/>
      <c r="IV8" s="376"/>
      <c r="IW8" s="376"/>
      <c r="IX8" s="376"/>
      <c r="IY8" s="376"/>
      <c r="IZ8" s="376"/>
      <c r="JA8" s="376"/>
      <c r="JB8" s="376"/>
      <c r="JC8" s="376"/>
      <c r="JD8" s="376"/>
      <c r="JE8" s="376"/>
      <c r="JF8" s="376"/>
      <c r="JG8" s="376"/>
      <c r="JH8" s="376"/>
      <c r="JI8" s="376"/>
      <c r="JJ8" s="376"/>
      <c r="JK8" s="376"/>
      <c r="JL8" s="376"/>
      <c r="JM8" s="376"/>
      <c r="JN8" s="376"/>
      <c r="JO8" s="376"/>
      <c r="JP8" s="376"/>
      <c r="JQ8" s="376"/>
      <c r="JR8" s="376"/>
      <c r="JS8" s="376"/>
      <c r="JT8" s="376"/>
      <c r="JU8" s="376"/>
      <c r="JV8" s="376"/>
      <c r="JW8" s="376"/>
      <c r="JX8" s="376"/>
      <c r="JY8" s="376"/>
      <c r="JZ8" s="376"/>
      <c r="KA8" s="376"/>
      <c r="KB8" s="376"/>
      <c r="KC8" s="376"/>
      <c r="KD8" s="376"/>
      <c r="KE8" s="376"/>
      <c r="KF8" s="376"/>
      <c r="KG8" s="376"/>
      <c r="KH8" s="376"/>
      <c r="KI8" s="376"/>
      <c r="KJ8" s="376"/>
      <c r="KK8" s="376"/>
      <c r="KL8" s="376"/>
      <c r="KM8" s="376"/>
      <c r="KN8" s="376"/>
      <c r="KO8" s="376"/>
      <c r="KP8" s="376"/>
      <c r="KQ8" s="376"/>
      <c r="KR8" s="376"/>
      <c r="KS8" s="376"/>
      <c r="KT8" s="376"/>
      <c r="KU8" s="376"/>
      <c r="KV8" s="376"/>
      <c r="KW8" s="376"/>
      <c r="KX8" s="376"/>
      <c r="KY8" s="376"/>
      <c r="KZ8" s="376"/>
      <c r="LA8" s="376"/>
      <c r="LB8" s="376"/>
      <c r="LC8" s="376"/>
      <c r="LD8" s="376"/>
      <c r="LE8" s="376"/>
      <c r="LF8" s="376"/>
      <c r="LG8" s="376"/>
      <c r="LH8" s="376"/>
      <c r="LI8" s="376"/>
      <c r="LJ8" s="376"/>
      <c r="LK8" s="376"/>
      <c r="LL8" s="376"/>
      <c r="LM8" s="376"/>
      <c r="LN8" s="376"/>
      <c r="LO8" s="376"/>
      <c r="LP8" s="376"/>
      <c r="LQ8" s="376"/>
      <c r="LR8" s="376"/>
      <c r="LS8" s="376"/>
      <c r="LT8" s="376"/>
      <c r="LU8" s="376"/>
      <c r="LV8" s="376"/>
      <c r="LW8" s="376"/>
      <c r="LX8" s="376"/>
      <c r="LY8" s="376"/>
      <c r="LZ8" s="376"/>
      <c r="MA8" s="376"/>
      <c r="MB8" s="376"/>
      <c r="MC8" s="376"/>
      <c r="MD8" s="376"/>
      <c r="ME8" s="376"/>
      <c r="MF8" s="376"/>
      <c r="MG8" s="376"/>
      <c r="MH8" s="376"/>
      <c r="MI8" s="376"/>
      <c r="MJ8" s="376"/>
      <c r="MK8" s="376"/>
      <c r="ML8" s="376"/>
      <c r="MM8" s="376"/>
      <c r="MN8" s="376"/>
      <c r="MO8" s="376"/>
      <c r="MP8" s="376"/>
      <c r="MQ8" s="376"/>
      <c r="MR8" s="376"/>
      <c r="MS8" s="376"/>
      <c r="MT8" s="376"/>
      <c r="MU8" s="376"/>
      <c r="MV8" s="376"/>
      <c r="MW8" s="376"/>
      <c r="MX8" s="376"/>
      <c r="MY8" s="376"/>
      <c r="MZ8" s="376"/>
      <c r="NA8" s="376"/>
      <c r="NB8" s="376"/>
      <c r="NC8" s="376"/>
      <c r="ND8" s="376"/>
      <c r="NE8" s="376"/>
      <c r="NF8" s="376"/>
      <c r="NG8" s="376"/>
      <c r="NH8" s="376"/>
      <c r="NI8" s="376"/>
      <c r="NJ8" s="376"/>
      <c r="NK8" s="376"/>
      <c r="NL8" s="376"/>
      <c r="NM8" s="376"/>
      <c r="NN8" s="376"/>
      <c r="NO8" s="376"/>
      <c r="NP8" s="376"/>
      <c r="NQ8" s="376"/>
      <c r="NR8" s="376"/>
      <c r="NS8" s="376"/>
      <c r="NT8" s="376"/>
      <c r="NU8" s="376"/>
      <c r="NV8" s="376"/>
      <c r="NW8" s="376"/>
      <c r="NX8" s="376"/>
      <c r="NY8" s="376"/>
      <c r="NZ8" s="376"/>
      <c r="OA8" s="376"/>
      <c r="OB8" s="376"/>
      <c r="OC8" s="376"/>
      <c r="OD8" s="376"/>
      <c r="OE8" s="376"/>
      <c r="OF8" s="376"/>
      <c r="OG8" s="376"/>
      <c r="OH8" s="376"/>
      <c r="OI8" s="376"/>
      <c r="OJ8" s="376"/>
      <c r="OK8" s="376"/>
      <c r="OL8" s="376"/>
      <c r="OM8" s="376"/>
      <c r="ON8" s="376"/>
      <c r="OO8" s="376"/>
      <c r="OP8" s="376"/>
      <c r="OQ8" s="376"/>
      <c r="OR8" s="376"/>
      <c r="OS8" s="376"/>
      <c r="OT8" s="376"/>
      <c r="OU8" s="376"/>
      <c r="OV8" s="376"/>
      <c r="OW8" s="376"/>
      <c r="OX8" s="376"/>
      <c r="OY8" s="376"/>
      <c r="OZ8" s="376"/>
      <c r="PA8" s="376"/>
      <c r="PB8" s="376"/>
      <c r="PC8" s="376"/>
      <c r="PD8" s="376"/>
      <c r="PE8" s="376"/>
      <c r="PF8" s="376"/>
      <c r="PG8" s="376"/>
      <c r="PH8" s="376"/>
      <c r="PI8" s="376"/>
      <c r="PJ8" s="376"/>
      <c r="PK8" s="376"/>
      <c r="PL8" s="376"/>
      <c r="PM8" s="376"/>
      <c r="PN8" s="376"/>
      <c r="PO8" s="376"/>
      <c r="PP8" s="376"/>
      <c r="PQ8" s="376"/>
      <c r="PR8" s="376"/>
      <c r="PS8" s="376"/>
      <c r="PT8" s="376"/>
      <c r="PU8" s="376"/>
      <c r="PV8" s="376"/>
      <c r="PW8" s="376"/>
      <c r="PX8" s="376"/>
      <c r="PY8" s="376"/>
      <c r="PZ8" s="376"/>
      <c r="QA8" s="376"/>
      <c r="QB8" s="376"/>
      <c r="QC8" s="376"/>
      <c r="QD8" s="376"/>
      <c r="QE8" s="376"/>
      <c r="QF8" s="376"/>
      <c r="QG8" s="376"/>
      <c r="QH8" s="376"/>
      <c r="QI8" s="376"/>
      <c r="QJ8" s="376"/>
      <c r="QK8" s="376"/>
      <c r="QL8" s="376"/>
      <c r="QM8" s="376"/>
      <c r="QN8" s="376"/>
      <c r="QO8" s="376"/>
      <c r="QP8" s="376"/>
      <c r="QQ8" s="376"/>
      <c r="QR8" s="376"/>
      <c r="QS8" s="376"/>
      <c r="QT8" s="376"/>
      <c r="QU8" s="376"/>
      <c r="QV8" s="376"/>
      <c r="QW8" s="376"/>
      <c r="QX8" s="376"/>
      <c r="QY8" s="376"/>
      <c r="QZ8" s="376"/>
      <c r="RA8" s="376"/>
      <c r="RB8" s="376"/>
      <c r="RC8" s="376"/>
      <c r="RD8" s="376"/>
      <c r="RE8" s="376"/>
      <c r="RF8" s="376"/>
      <c r="RG8" s="376"/>
      <c r="RH8" s="376"/>
      <c r="RI8" s="376"/>
      <c r="RJ8" s="376"/>
      <c r="RK8" s="376"/>
      <c r="RL8" s="376"/>
      <c r="RM8" s="376"/>
      <c r="RN8" s="376"/>
      <c r="RO8" s="376"/>
      <c r="RP8" s="376"/>
      <c r="RQ8" s="376"/>
      <c r="RR8" s="376"/>
      <c r="RS8" s="376"/>
      <c r="RT8" s="376"/>
      <c r="RU8" s="376"/>
      <c r="RV8" s="376"/>
      <c r="RW8" s="376"/>
      <c r="RX8" s="376"/>
      <c r="RY8" s="376"/>
      <c r="RZ8" s="376"/>
      <c r="SA8" s="376"/>
      <c r="SB8" s="376"/>
      <c r="SC8" s="376"/>
      <c r="SD8" s="376"/>
      <c r="SE8" s="376"/>
    </row>
    <row r="9" spans="1:499" s="377" customFormat="1" ht="20.25" customHeight="1">
      <c r="A9" s="382" t="s">
        <v>106</v>
      </c>
      <c r="B9" s="660" t="s">
        <v>287</v>
      </c>
      <c r="C9" s="469">
        <v>14.6</v>
      </c>
      <c r="D9" s="488"/>
      <c r="E9" s="471">
        <v>12.7</v>
      </c>
      <c r="F9" s="450"/>
      <c r="G9" s="472">
        <f t="shared" ref="G9:G14" si="0">C9-E9</f>
        <v>1.9000000000000004</v>
      </c>
      <c r="H9" s="469">
        <v>50.9</v>
      </c>
      <c r="I9" s="467"/>
      <c r="J9" s="471">
        <v>48.5</v>
      </c>
      <c r="K9" s="456"/>
      <c r="L9" s="472">
        <f t="shared" ref="L9:L14" si="1">H9-J9</f>
        <v>2.3999999999999986</v>
      </c>
      <c r="M9" s="469">
        <v>-65.5</v>
      </c>
      <c r="N9" s="488"/>
      <c r="O9" s="471">
        <v>-61.2</v>
      </c>
      <c r="P9" s="468"/>
      <c r="Q9" s="472">
        <f t="shared" ref="Q9:Q14" si="2">M9-O9</f>
        <v>-4.2999999999999972</v>
      </c>
      <c r="R9" s="469">
        <f t="shared" ref="R9:R17" si="3">C9+H9+M9</f>
        <v>0</v>
      </c>
      <c r="S9" s="549"/>
      <c r="T9" s="471">
        <f t="shared" ref="T9:T14" si="4">E9+J9+O9</f>
        <v>0</v>
      </c>
      <c r="U9" s="379"/>
      <c r="V9" s="247">
        <f t="shared" ref="V9:V14" si="5">R9-T9</f>
        <v>0</v>
      </c>
      <c r="W9" s="540"/>
      <c r="X9" s="541"/>
      <c r="Y9" s="384"/>
      <c r="Z9" s="384"/>
      <c r="AA9" s="378"/>
      <c r="AB9" s="376"/>
      <c r="AC9" s="376"/>
      <c r="AD9" s="376"/>
      <c r="AE9" s="376"/>
      <c r="AF9" s="376"/>
      <c r="AG9" s="376"/>
      <c r="AH9" s="376"/>
      <c r="AI9" s="376"/>
      <c r="AJ9" s="376"/>
      <c r="AK9" s="376"/>
      <c r="AL9" s="376"/>
      <c r="AM9" s="376"/>
      <c r="AN9" s="376"/>
      <c r="AO9" s="376"/>
      <c r="AP9" s="376"/>
      <c r="AQ9" s="376"/>
      <c r="AR9" s="376"/>
      <c r="AS9" s="376"/>
      <c r="AT9" s="376"/>
      <c r="AU9" s="376"/>
      <c r="AV9" s="376"/>
      <c r="AW9" s="376"/>
      <c r="AX9" s="376"/>
      <c r="AY9" s="376"/>
      <c r="AZ9" s="376"/>
      <c r="BA9" s="376"/>
      <c r="BB9" s="376"/>
      <c r="BC9" s="376"/>
      <c r="BD9" s="376"/>
      <c r="BE9" s="376"/>
      <c r="BF9" s="376"/>
      <c r="BG9" s="376"/>
      <c r="BH9" s="376"/>
      <c r="BI9" s="376"/>
      <c r="BJ9" s="376"/>
      <c r="BK9" s="376"/>
      <c r="BL9" s="376"/>
      <c r="BM9" s="376"/>
      <c r="BN9" s="376"/>
      <c r="BO9" s="376"/>
      <c r="BP9" s="376"/>
      <c r="BQ9" s="376"/>
      <c r="BR9" s="376"/>
      <c r="BS9" s="376"/>
      <c r="BT9" s="376"/>
      <c r="BU9" s="376"/>
      <c r="BV9" s="376"/>
      <c r="BW9" s="376"/>
      <c r="BX9" s="376"/>
      <c r="BY9" s="376"/>
      <c r="BZ9" s="376"/>
      <c r="CA9" s="376"/>
      <c r="CB9" s="376"/>
      <c r="CC9" s="376"/>
      <c r="CD9" s="376"/>
      <c r="CE9" s="376"/>
      <c r="CF9" s="376"/>
      <c r="CG9" s="376"/>
      <c r="CH9" s="376"/>
      <c r="CI9" s="376"/>
      <c r="CJ9" s="376"/>
      <c r="CK9" s="376"/>
      <c r="CL9" s="376"/>
      <c r="CM9" s="376"/>
      <c r="CN9" s="376"/>
      <c r="CO9" s="376"/>
      <c r="CP9" s="376"/>
      <c r="CQ9" s="376"/>
      <c r="CR9" s="376"/>
      <c r="CS9" s="376"/>
      <c r="CT9" s="376"/>
      <c r="CU9" s="376"/>
      <c r="CV9" s="376"/>
      <c r="CW9" s="376"/>
      <c r="CX9" s="376"/>
      <c r="CY9" s="376"/>
      <c r="CZ9" s="376"/>
      <c r="DA9" s="376"/>
      <c r="DB9" s="376"/>
      <c r="DC9" s="376"/>
      <c r="DD9" s="376"/>
      <c r="DE9" s="376"/>
      <c r="DF9" s="376"/>
      <c r="DG9" s="376"/>
      <c r="DH9" s="376"/>
      <c r="DI9" s="376"/>
      <c r="DJ9" s="376"/>
      <c r="DK9" s="376"/>
      <c r="DL9" s="376"/>
      <c r="DM9" s="376"/>
      <c r="DN9" s="376"/>
      <c r="DO9" s="376"/>
      <c r="DP9" s="376"/>
      <c r="DQ9" s="376"/>
      <c r="DR9" s="376"/>
      <c r="DS9" s="376"/>
      <c r="DT9" s="376"/>
      <c r="DU9" s="376"/>
      <c r="DV9" s="376"/>
      <c r="DW9" s="376"/>
      <c r="DX9" s="376"/>
      <c r="DY9" s="376"/>
      <c r="DZ9" s="376"/>
      <c r="EA9" s="376"/>
      <c r="EB9" s="376"/>
      <c r="EC9" s="376"/>
      <c r="ED9" s="376"/>
      <c r="EE9" s="376"/>
      <c r="EF9" s="376"/>
      <c r="EG9" s="376"/>
      <c r="EH9" s="376"/>
      <c r="EI9" s="376"/>
      <c r="EJ9" s="376"/>
      <c r="EK9" s="376"/>
      <c r="EL9" s="376"/>
      <c r="EM9" s="376"/>
      <c r="EN9" s="376"/>
      <c r="EO9" s="376"/>
      <c r="EP9" s="376"/>
      <c r="EQ9" s="376"/>
      <c r="ER9" s="376"/>
      <c r="ES9" s="376"/>
      <c r="ET9" s="376"/>
      <c r="EU9" s="376"/>
      <c r="EV9" s="376"/>
      <c r="EW9" s="376"/>
      <c r="EX9" s="376"/>
      <c r="EY9" s="376"/>
      <c r="EZ9" s="376"/>
      <c r="FA9" s="376"/>
      <c r="FB9" s="376"/>
      <c r="FC9" s="376"/>
      <c r="FD9" s="376"/>
      <c r="FE9" s="376"/>
      <c r="FF9" s="376"/>
      <c r="FG9" s="376"/>
      <c r="FH9" s="376"/>
      <c r="FI9" s="376"/>
      <c r="FJ9" s="376"/>
      <c r="FK9" s="376"/>
      <c r="FL9" s="376"/>
      <c r="FM9" s="376"/>
      <c r="FN9" s="376"/>
      <c r="FO9" s="376"/>
      <c r="FP9" s="376"/>
      <c r="FQ9" s="376"/>
      <c r="FR9" s="376"/>
      <c r="FS9" s="376"/>
      <c r="FT9" s="376"/>
      <c r="FU9" s="376"/>
      <c r="FV9" s="376"/>
      <c r="FW9" s="376"/>
      <c r="FX9" s="376"/>
      <c r="FY9" s="376"/>
      <c r="FZ9" s="376"/>
      <c r="GA9" s="376"/>
      <c r="GB9" s="376"/>
      <c r="GC9" s="376"/>
      <c r="GD9" s="376"/>
      <c r="GE9" s="376"/>
      <c r="GF9" s="376"/>
      <c r="GG9" s="376"/>
      <c r="GH9" s="376"/>
      <c r="GI9" s="376"/>
      <c r="GJ9" s="376"/>
      <c r="GK9" s="376"/>
      <c r="GL9" s="376"/>
      <c r="GM9" s="376"/>
      <c r="GN9" s="376"/>
      <c r="GO9" s="376"/>
      <c r="GP9" s="376"/>
      <c r="GQ9" s="376"/>
      <c r="GR9" s="376"/>
      <c r="GS9" s="376"/>
      <c r="GT9" s="376"/>
      <c r="GU9" s="376"/>
      <c r="GV9" s="376"/>
      <c r="GW9" s="376"/>
      <c r="GX9" s="376"/>
      <c r="GY9" s="376"/>
      <c r="GZ9" s="376"/>
      <c r="HA9" s="376"/>
      <c r="HB9" s="376"/>
      <c r="HC9" s="376"/>
      <c r="HD9" s="376"/>
      <c r="HE9" s="376"/>
      <c r="HF9" s="376"/>
      <c r="HG9" s="376"/>
      <c r="HH9" s="376"/>
      <c r="HI9" s="376"/>
      <c r="HJ9" s="376"/>
      <c r="HK9" s="376"/>
      <c r="HL9" s="376"/>
      <c r="HM9" s="376"/>
      <c r="HN9" s="376"/>
      <c r="HO9" s="376"/>
      <c r="HP9" s="376"/>
      <c r="HQ9" s="376"/>
      <c r="HR9" s="376"/>
      <c r="HS9" s="376"/>
      <c r="HT9" s="376"/>
      <c r="HU9" s="376"/>
      <c r="HV9" s="376"/>
      <c r="HW9" s="376"/>
      <c r="HX9" s="376"/>
      <c r="HY9" s="376"/>
      <c r="HZ9" s="376"/>
      <c r="IA9" s="376"/>
      <c r="IB9" s="376"/>
      <c r="IC9" s="376"/>
      <c r="ID9" s="376"/>
      <c r="IE9" s="376"/>
      <c r="IF9" s="376"/>
      <c r="IG9" s="376"/>
      <c r="IH9" s="376"/>
      <c r="II9" s="376"/>
      <c r="IJ9" s="376"/>
      <c r="IK9" s="376"/>
      <c r="IL9" s="376"/>
      <c r="IM9" s="376"/>
      <c r="IN9" s="376"/>
      <c r="IO9" s="376"/>
      <c r="IP9" s="376"/>
      <c r="IQ9" s="376"/>
      <c r="IR9" s="376"/>
      <c r="IS9" s="376"/>
      <c r="IT9" s="376"/>
      <c r="IU9" s="376"/>
      <c r="IV9" s="376"/>
      <c r="IW9" s="376"/>
      <c r="IX9" s="376"/>
      <c r="IY9" s="376"/>
      <c r="IZ9" s="376"/>
      <c r="JA9" s="376"/>
      <c r="JB9" s="376"/>
      <c r="JC9" s="376"/>
      <c r="JD9" s="376"/>
      <c r="JE9" s="376"/>
      <c r="JF9" s="376"/>
      <c r="JG9" s="376"/>
      <c r="JH9" s="376"/>
      <c r="JI9" s="376"/>
      <c r="JJ9" s="376"/>
      <c r="JK9" s="376"/>
      <c r="JL9" s="376"/>
      <c r="JM9" s="376"/>
      <c r="JN9" s="376"/>
      <c r="JO9" s="376"/>
      <c r="JP9" s="376"/>
      <c r="JQ9" s="376"/>
      <c r="JR9" s="376"/>
      <c r="JS9" s="376"/>
      <c r="JT9" s="376"/>
      <c r="JU9" s="376"/>
      <c r="JV9" s="376"/>
      <c r="JW9" s="376"/>
      <c r="JX9" s="376"/>
      <c r="JY9" s="376"/>
      <c r="JZ9" s="376"/>
      <c r="KA9" s="376"/>
      <c r="KB9" s="376"/>
      <c r="KC9" s="376"/>
      <c r="KD9" s="376"/>
      <c r="KE9" s="376"/>
      <c r="KF9" s="376"/>
      <c r="KG9" s="376"/>
      <c r="KH9" s="376"/>
      <c r="KI9" s="376"/>
      <c r="KJ9" s="376"/>
      <c r="KK9" s="376"/>
      <c r="KL9" s="376"/>
      <c r="KM9" s="376"/>
      <c r="KN9" s="376"/>
      <c r="KO9" s="376"/>
      <c r="KP9" s="376"/>
      <c r="KQ9" s="376"/>
      <c r="KR9" s="376"/>
      <c r="KS9" s="376"/>
      <c r="KT9" s="376"/>
      <c r="KU9" s="376"/>
      <c r="KV9" s="376"/>
      <c r="KW9" s="376"/>
      <c r="KX9" s="376"/>
      <c r="KY9" s="376"/>
      <c r="KZ9" s="376"/>
      <c r="LA9" s="376"/>
      <c r="LB9" s="376"/>
      <c r="LC9" s="376"/>
      <c r="LD9" s="376"/>
      <c r="LE9" s="376"/>
      <c r="LF9" s="376"/>
      <c r="LG9" s="376"/>
      <c r="LH9" s="376"/>
      <c r="LI9" s="376"/>
      <c r="LJ9" s="376"/>
      <c r="LK9" s="376"/>
      <c r="LL9" s="376"/>
      <c r="LM9" s="376"/>
      <c r="LN9" s="376"/>
      <c r="LO9" s="376"/>
      <c r="LP9" s="376"/>
      <c r="LQ9" s="376"/>
      <c r="LR9" s="376"/>
      <c r="LS9" s="376"/>
      <c r="LT9" s="376"/>
      <c r="LU9" s="376"/>
      <c r="LV9" s="376"/>
      <c r="LW9" s="376"/>
      <c r="LX9" s="376"/>
      <c r="LY9" s="376"/>
      <c r="LZ9" s="376"/>
      <c r="MA9" s="376"/>
      <c r="MB9" s="376"/>
      <c r="MC9" s="376"/>
      <c r="MD9" s="376"/>
      <c r="ME9" s="376"/>
      <c r="MF9" s="376"/>
      <c r="MG9" s="376"/>
      <c r="MH9" s="376"/>
      <c r="MI9" s="376"/>
      <c r="MJ9" s="376"/>
      <c r="MK9" s="376"/>
      <c r="ML9" s="376"/>
      <c r="MM9" s="376"/>
      <c r="MN9" s="376"/>
      <c r="MO9" s="376"/>
      <c r="MP9" s="376"/>
      <c r="MQ9" s="376"/>
      <c r="MR9" s="376"/>
      <c r="MS9" s="376"/>
      <c r="MT9" s="376"/>
      <c r="MU9" s="376"/>
      <c r="MV9" s="376"/>
      <c r="MW9" s="376"/>
      <c r="MX9" s="376"/>
      <c r="MY9" s="376"/>
      <c r="MZ9" s="376"/>
      <c r="NA9" s="376"/>
      <c r="NB9" s="376"/>
      <c r="NC9" s="376"/>
      <c r="ND9" s="376"/>
      <c r="NE9" s="376"/>
      <c r="NF9" s="376"/>
      <c r="NG9" s="376"/>
      <c r="NH9" s="376"/>
      <c r="NI9" s="376"/>
      <c r="NJ9" s="376"/>
      <c r="NK9" s="376"/>
      <c r="NL9" s="376"/>
      <c r="NM9" s="376"/>
      <c r="NN9" s="376"/>
      <c r="NO9" s="376"/>
      <c r="NP9" s="376"/>
      <c r="NQ9" s="376"/>
      <c r="NR9" s="376"/>
      <c r="NS9" s="376"/>
      <c r="NT9" s="376"/>
      <c r="NU9" s="376"/>
      <c r="NV9" s="376"/>
      <c r="NW9" s="376"/>
      <c r="NX9" s="376"/>
      <c r="NY9" s="376"/>
      <c r="NZ9" s="376"/>
      <c r="OA9" s="376"/>
      <c r="OB9" s="376"/>
      <c r="OC9" s="376"/>
      <c r="OD9" s="376"/>
      <c r="OE9" s="376"/>
      <c r="OF9" s="376"/>
      <c r="OG9" s="376"/>
      <c r="OH9" s="376"/>
      <c r="OI9" s="376"/>
      <c r="OJ9" s="376"/>
      <c r="OK9" s="376"/>
      <c r="OL9" s="376"/>
      <c r="OM9" s="376"/>
      <c r="ON9" s="376"/>
      <c r="OO9" s="376"/>
      <c r="OP9" s="376"/>
      <c r="OQ9" s="376"/>
      <c r="OR9" s="376"/>
      <c r="OS9" s="376"/>
      <c r="OT9" s="376"/>
      <c r="OU9" s="376"/>
      <c r="OV9" s="376"/>
      <c r="OW9" s="376"/>
      <c r="OX9" s="376"/>
      <c r="OY9" s="376"/>
      <c r="OZ9" s="376"/>
      <c r="PA9" s="376"/>
      <c r="PB9" s="376"/>
      <c r="PC9" s="376"/>
      <c r="PD9" s="376"/>
      <c r="PE9" s="376"/>
      <c r="PF9" s="376"/>
      <c r="PG9" s="376"/>
      <c r="PH9" s="376"/>
      <c r="PI9" s="376"/>
      <c r="PJ9" s="376"/>
      <c r="PK9" s="376"/>
      <c r="PL9" s="376"/>
      <c r="PM9" s="376"/>
      <c r="PN9" s="376"/>
      <c r="PO9" s="376"/>
      <c r="PP9" s="376"/>
      <c r="PQ9" s="376"/>
      <c r="PR9" s="376"/>
      <c r="PS9" s="376"/>
      <c r="PT9" s="376"/>
      <c r="PU9" s="376"/>
      <c r="PV9" s="376"/>
      <c r="PW9" s="376"/>
      <c r="PX9" s="376"/>
      <c r="PY9" s="376"/>
      <c r="PZ9" s="376"/>
      <c r="QA9" s="376"/>
      <c r="QB9" s="376"/>
      <c r="QC9" s="376"/>
      <c r="QD9" s="376"/>
      <c r="QE9" s="376"/>
      <c r="QF9" s="376"/>
      <c r="QG9" s="376"/>
      <c r="QH9" s="376"/>
      <c r="QI9" s="376"/>
      <c r="QJ9" s="376"/>
      <c r="QK9" s="376"/>
      <c r="QL9" s="376"/>
      <c r="QM9" s="376"/>
      <c r="QN9" s="376"/>
      <c r="QO9" s="376"/>
      <c r="QP9" s="376"/>
      <c r="QQ9" s="376"/>
      <c r="QR9" s="376"/>
      <c r="QS9" s="376"/>
      <c r="QT9" s="376"/>
      <c r="QU9" s="376"/>
      <c r="QV9" s="376"/>
      <c r="QW9" s="376"/>
      <c r="QX9" s="376"/>
      <c r="QY9" s="376"/>
      <c r="QZ9" s="376"/>
      <c r="RA9" s="376"/>
      <c r="RB9" s="376"/>
      <c r="RC9" s="376"/>
      <c r="RD9" s="376"/>
      <c r="RE9" s="376"/>
      <c r="RF9" s="376"/>
      <c r="RG9" s="376"/>
      <c r="RH9" s="376"/>
      <c r="RI9" s="376"/>
      <c r="RJ9" s="376"/>
      <c r="RK9" s="376"/>
      <c r="RL9" s="376"/>
      <c r="RM9" s="376"/>
      <c r="RN9" s="376"/>
      <c r="RO9" s="376"/>
      <c r="RP9" s="376"/>
      <c r="RQ9" s="376"/>
      <c r="RR9" s="376"/>
      <c r="RS9" s="376"/>
      <c r="RT9" s="376"/>
      <c r="RU9" s="376"/>
      <c r="RV9" s="376"/>
      <c r="RW9" s="376"/>
      <c r="RX9" s="376"/>
      <c r="RY9" s="376"/>
      <c r="RZ9" s="376"/>
      <c r="SA9" s="376"/>
      <c r="SB9" s="376"/>
      <c r="SC9" s="376"/>
      <c r="SD9" s="376"/>
      <c r="SE9" s="376"/>
    </row>
    <row r="10" spans="1:499" s="386" customFormat="1" ht="20.25" customHeight="1">
      <c r="A10" s="18" t="s">
        <v>107</v>
      </c>
      <c r="B10" s="18" t="s">
        <v>288</v>
      </c>
      <c r="C10" s="475">
        <f>SUM(C8:C9)</f>
        <v>2453.4</v>
      </c>
      <c r="D10" s="476"/>
      <c r="E10" s="477">
        <f>SUM(E8:E9)</f>
        <v>2398.1999999999998</v>
      </c>
      <c r="F10" s="452"/>
      <c r="G10" s="478">
        <f t="shared" si="0"/>
        <v>55.200000000000273</v>
      </c>
      <c r="H10" s="475">
        <f>SUM(H8:H9)</f>
        <v>460.59999999999997</v>
      </c>
      <c r="I10" s="476"/>
      <c r="J10" s="477">
        <v>454.6</v>
      </c>
      <c r="K10" s="459"/>
      <c r="L10" s="478">
        <f t="shared" si="1"/>
        <v>5.9999999999999432</v>
      </c>
      <c r="M10" s="475">
        <f>SUM(M8:M9)</f>
        <v>-65.5</v>
      </c>
      <c r="N10" s="476"/>
      <c r="O10" s="477">
        <f>SUM(O8:O9)</f>
        <v>-61.2</v>
      </c>
      <c r="P10" s="477"/>
      <c r="Q10" s="478">
        <f t="shared" si="2"/>
        <v>-4.2999999999999972</v>
      </c>
      <c r="R10" s="475">
        <f t="shared" si="3"/>
        <v>2848.5</v>
      </c>
      <c r="S10" s="476"/>
      <c r="T10" s="477">
        <f t="shared" si="4"/>
        <v>2791.6</v>
      </c>
      <c r="U10" s="480"/>
      <c r="V10" s="248">
        <f t="shared" si="5"/>
        <v>56.900000000000091</v>
      </c>
      <c r="W10" s="540"/>
      <c r="X10" s="541"/>
      <c r="Y10" s="20"/>
      <c r="Z10" s="20"/>
      <c r="AA10" s="385"/>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c r="EV10" s="19"/>
      <c r="EW10" s="19"/>
      <c r="EX10" s="19"/>
      <c r="EY10" s="19"/>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c r="HA10" s="19"/>
      <c r="HB10" s="19"/>
      <c r="HC10" s="19"/>
      <c r="HD10" s="19"/>
      <c r="HE10" s="19"/>
      <c r="HF10" s="19"/>
      <c r="HG10" s="19"/>
      <c r="HH10" s="19"/>
      <c r="HI10" s="19"/>
      <c r="HJ10" s="19"/>
      <c r="HK10" s="19"/>
      <c r="HL10" s="19"/>
      <c r="HM10" s="19"/>
      <c r="HN10" s="19"/>
      <c r="HO10" s="19"/>
      <c r="HP10" s="19"/>
      <c r="HQ10" s="19"/>
      <c r="HR10" s="19"/>
      <c r="HS10" s="19"/>
      <c r="HT10" s="19"/>
      <c r="HU10" s="19"/>
      <c r="HV10" s="19"/>
      <c r="HW10" s="19"/>
      <c r="HX10" s="19"/>
      <c r="HY10" s="19"/>
      <c r="HZ10" s="19"/>
      <c r="IA10" s="19"/>
      <c r="IB10" s="19"/>
      <c r="IC10" s="19"/>
      <c r="ID10" s="19"/>
      <c r="IE10" s="19"/>
      <c r="IF10" s="19"/>
      <c r="IG10" s="19"/>
      <c r="IH10" s="19"/>
      <c r="II10" s="19"/>
      <c r="IJ10" s="19"/>
      <c r="IK10" s="19"/>
      <c r="IL10" s="19"/>
      <c r="IM10" s="19"/>
      <c r="IN10" s="19"/>
      <c r="IO10" s="19"/>
      <c r="IP10" s="19"/>
      <c r="IQ10" s="19"/>
      <c r="IR10" s="19"/>
      <c r="IS10" s="19"/>
      <c r="IT10" s="19"/>
      <c r="IU10" s="19"/>
      <c r="IV10" s="19"/>
      <c r="IW10" s="19"/>
      <c r="IX10" s="19"/>
      <c r="IY10" s="19"/>
      <c r="IZ10" s="19"/>
      <c r="JA10" s="19"/>
      <c r="JB10" s="19"/>
      <c r="JC10" s="19"/>
      <c r="JD10" s="19"/>
      <c r="JE10" s="19"/>
      <c r="JF10" s="19"/>
      <c r="JG10" s="19"/>
      <c r="JH10" s="19"/>
      <c r="JI10" s="19"/>
      <c r="JJ10" s="19"/>
      <c r="JK10" s="19"/>
      <c r="JL10" s="19"/>
      <c r="JM10" s="19"/>
      <c r="JN10" s="19"/>
      <c r="JO10" s="19"/>
      <c r="JP10" s="19"/>
      <c r="JQ10" s="19"/>
      <c r="JR10" s="19"/>
      <c r="JS10" s="19"/>
      <c r="JT10" s="19"/>
      <c r="JU10" s="19"/>
      <c r="JV10" s="19"/>
      <c r="JW10" s="19"/>
      <c r="JX10" s="19"/>
      <c r="JY10" s="19"/>
      <c r="JZ10" s="19"/>
      <c r="KA10" s="19"/>
      <c r="KB10" s="19"/>
      <c r="KC10" s="19"/>
      <c r="KD10" s="19"/>
      <c r="KE10" s="19"/>
      <c r="KF10" s="19"/>
      <c r="KG10" s="19"/>
      <c r="KH10" s="19"/>
      <c r="KI10" s="19"/>
      <c r="KJ10" s="19"/>
      <c r="KK10" s="19"/>
      <c r="KL10" s="19"/>
      <c r="KM10" s="19"/>
      <c r="KN10" s="19"/>
      <c r="KO10" s="19"/>
      <c r="KP10" s="19"/>
      <c r="KQ10" s="19"/>
      <c r="KR10" s="19"/>
      <c r="KS10" s="19"/>
      <c r="KT10" s="19"/>
      <c r="KU10" s="19"/>
      <c r="KV10" s="19"/>
      <c r="KW10" s="19"/>
      <c r="KX10" s="19"/>
      <c r="KY10" s="19"/>
      <c r="KZ10" s="19"/>
      <c r="LA10" s="19"/>
      <c r="LB10" s="19"/>
      <c r="LC10" s="19"/>
      <c r="LD10" s="19"/>
      <c r="LE10" s="19"/>
      <c r="LF10" s="19"/>
      <c r="LG10" s="19"/>
      <c r="LH10" s="19"/>
      <c r="LI10" s="19"/>
      <c r="LJ10" s="19"/>
      <c r="LK10" s="19"/>
      <c r="LL10" s="19"/>
      <c r="LM10" s="19"/>
      <c r="LN10" s="19"/>
      <c r="LO10" s="19"/>
      <c r="LP10" s="19"/>
      <c r="LQ10" s="19"/>
      <c r="LR10" s="19"/>
      <c r="LS10" s="19"/>
      <c r="LT10" s="19"/>
      <c r="LU10" s="19"/>
      <c r="LV10" s="19"/>
      <c r="LW10" s="19"/>
      <c r="LX10" s="19"/>
      <c r="LY10" s="19"/>
      <c r="LZ10" s="19"/>
      <c r="MA10" s="19"/>
      <c r="MB10" s="19"/>
      <c r="MC10" s="19"/>
      <c r="MD10" s="19"/>
      <c r="ME10" s="19"/>
      <c r="MF10" s="19"/>
      <c r="MG10" s="19"/>
      <c r="MH10" s="19"/>
      <c r="MI10" s="19"/>
      <c r="MJ10" s="19"/>
      <c r="MK10" s="19"/>
      <c r="ML10" s="19"/>
      <c r="MM10" s="19"/>
      <c r="MN10" s="19"/>
      <c r="MO10" s="19"/>
      <c r="MP10" s="19"/>
      <c r="MQ10" s="19"/>
      <c r="MR10" s="19"/>
      <c r="MS10" s="19"/>
      <c r="MT10" s="19"/>
      <c r="MU10" s="19"/>
      <c r="MV10" s="19"/>
      <c r="MW10" s="19"/>
      <c r="MX10" s="19"/>
      <c r="MY10" s="19"/>
      <c r="MZ10" s="19"/>
      <c r="NA10" s="19"/>
      <c r="NB10" s="19"/>
      <c r="NC10" s="19"/>
      <c r="ND10" s="19"/>
      <c r="NE10" s="19"/>
      <c r="NF10" s="19"/>
      <c r="NG10" s="19"/>
      <c r="NH10" s="19"/>
      <c r="NI10" s="19"/>
      <c r="NJ10" s="19"/>
      <c r="NK10" s="19"/>
      <c r="NL10" s="19"/>
      <c r="NM10" s="19"/>
      <c r="NN10" s="19"/>
      <c r="NO10" s="19"/>
      <c r="NP10" s="19"/>
      <c r="NQ10" s="19"/>
      <c r="NR10" s="19"/>
      <c r="NS10" s="19"/>
      <c r="NT10" s="19"/>
      <c r="NU10" s="19"/>
      <c r="NV10" s="19"/>
      <c r="NW10" s="19"/>
      <c r="NX10" s="19"/>
      <c r="NY10" s="19"/>
      <c r="NZ10" s="19"/>
      <c r="OA10" s="19"/>
      <c r="OB10" s="19"/>
      <c r="OC10" s="19"/>
      <c r="OD10" s="19"/>
      <c r="OE10" s="19"/>
      <c r="OF10" s="19"/>
      <c r="OG10" s="19"/>
      <c r="OH10" s="19"/>
      <c r="OI10" s="19"/>
      <c r="OJ10" s="19"/>
      <c r="OK10" s="19"/>
      <c r="OL10" s="19"/>
      <c r="OM10" s="19"/>
      <c r="ON10" s="19"/>
      <c r="OO10" s="19"/>
      <c r="OP10" s="19"/>
      <c r="OQ10" s="19"/>
      <c r="OR10" s="19"/>
      <c r="OS10" s="19"/>
      <c r="OT10" s="19"/>
      <c r="OU10" s="19"/>
      <c r="OV10" s="19"/>
      <c r="OW10" s="19"/>
      <c r="OX10" s="19"/>
      <c r="OY10" s="19"/>
      <c r="OZ10" s="19"/>
      <c r="PA10" s="19"/>
      <c r="PB10" s="19"/>
      <c r="PC10" s="19"/>
      <c r="PD10" s="19"/>
      <c r="PE10" s="19"/>
      <c r="PF10" s="19"/>
      <c r="PG10" s="19"/>
      <c r="PH10" s="19"/>
      <c r="PI10" s="19"/>
      <c r="PJ10" s="19"/>
      <c r="PK10" s="19"/>
      <c r="PL10" s="19"/>
      <c r="PM10" s="19"/>
      <c r="PN10" s="19"/>
      <c r="PO10" s="19"/>
      <c r="PP10" s="19"/>
      <c r="PQ10" s="19"/>
      <c r="PR10" s="19"/>
      <c r="PS10" s="19"/>
      <c r="PT10" s="19"/>
      <c r="PU10" s="19"/>
      <c r="PV10" s="19"/>
      <c r="PW10" s="19"/>
      <c r="PX10" s="19"/>
      <c r="PY10" s="19"/>
      <c r="PZ10" s="19"/>
      <c r="QA10" s="19"/>
      <c r="QB10" s="19"/>
      <c r="QC10" s="19"/>
      <c r="QD10" s="19"/>
      <c r="QE10" s="19"/>
      <c r="QF10" s="19"/>
      <c r="QG10" s="19"/>
      <c r="QH10" s="19"/>
      <c r="QI10" s="19"/>
      <c r="QJ10" s="19"/>
      <c r="QK10" s="19"/>
      <c r="QL10" s="19"/>
      <c r="QM10" s="19"/>
      <c r="QN10" s="19"/>
      <c r="QO10" s="19"/>
      <c r="QP10" s="19"/>
      <c r="QQ10" s="19"/>
      <c r="QR10" s="19"/>
      <c r="QS10" s="19"/>
      <c r="QT10" s="19"/>
      <c r="QU10" s="19"/>
      <c r="QV10" s="19"/>
      <c r="QW10" s="19"/>
      <c r="QX10" s="19"/>
      <c r="QY10" s="19"/>
      <c r="QZ10" s="19"/>
      <c r="RA10" s="19"/>
      <c r="RB10" s="19"/>
      <c r="RC10" s="19"/>
      <c r="RD10" s="19"/>
      <c r="RE10" s="19"/>
      <c r="RF10" s="19"/>
      <c r="RG10" s="19"/>
      <c r="RH10" s="19"/>
      <c r="RI10" s="19"/>
      <c r="RJ10" s="19"/>
      <c r="RK10" s="19"/>
      <c r="RL10" s="19"/>
      <c r="RM10" s="19"/>
      <c r="RN10" s="19"/>
      <c r="RO10" s="19"/>
      <c r="RP10" s="19"/>
      <c r="RQ10" s="19"/>
      <c r="RR10" s="19"/>
      <c r="RS10" s="19"/>
      <c r="RT10" s="19"/>
      <c r="RU10" s="19"/>
      <c r="RV10" s="19"/>
      <c r="RW10" s="19"/>
      <c r="RX10" s="19"/>
      <c r="RY10" s="19"/>
      <c r="RZ10" s="19"/>
      <c r="SA10" s="19"/>
      <c r="SB10" s="19"/>
      <c r="SC10" s="19"/>
      <c r="SD10" s="19"/>
      <c r="SE10" s="19"/>
    </row>
    <row r="11" spans="1:499" s="386" customFormat="1" ht="20.25" customHeight="1">
      <c r="A11" s="18" t="s">
        <v>154</v>
      </c>
      <c r="B11" s="18" t="s">
        <v>289</v>
      </c>
      <c r="C11" s="479">
        <v>879.6</v>
      </c>
      <c r="D11" s="476"/>
      <c r="E11" s="480">
        <v>892.6</v>
      </c>
      <c r="F11" s="452"/>
      <c r="G11" s="478">
        <f t="shared" si="0"/>
        <v>-13</v>
      </c>
      <c r="H11" s="479">
        <v>147.1</v>
      </c>
      <c r="I11" s="463"/>
      <c r="J11" s="480">
        <v>145.69999999999999</v>
      </c>
      <c r="K11" s="459"/>
      <c r="L11" s="478">
        <f t="shared" si="1"/>
        <v>1.4000000000000057</v>
      </c>
      <c r="M11" s="479">
        <v>0</v>
      </c>
      <c r="N11" s="479"/>
      <c r="O11" s="480">
        <v>0</v>
      </c>
      <c r="P11" s="477"/>
      <c r="Q11" s="478">
        <f t="shared" si="2"/>
        <v>0</v>
      </c>
      <c r="R11" s="479">
        <f>C11+H11+M11</f>
        <v>1026.7</v>
      </c>
      <c r="S11" s="479"/>
      <c r="T11" s="480">
        <f t="shared" si="4"/>
        <v>1038.3</v>
      </c>
      <c r="U11" s="480"/>
      <c r="V11" s="248">
        <f t="shared" si="5"/>
        <v>-11.599999999999909</v>
      </c>
      <c r="W11" s="540"/>
      <c r="X11" s="541"/>
      <c r="Y11" s="20"/>
      <c r="Z11" s="20"/>
      <c r="AA11" s="385"/>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c r="CH11" s="19"/>
      <c r="CI11" s="19"/>
      <c r="CJ11" s="19"/>
      <c r="CK11" s="19"/>
      <c r="CL11" s="19"/>
      <c r="CM11" s="19"/>
      <c r="CN11" s="19"/>
      <c r="CO11" s="19"/>
      <c r="CP11" s="19"/>
      <c r="CQ11" s="19"/>
      <c r="CR11" s="19"/>
      <c r="CS11" s="19"/>
      <c r="CT11" s="19"/>
      <c r="CU11" s="19"/>
      <c r="CV11" s="19"/>
      <c r="CW11" s="19"/>
      <c r="CX11" s="19"/>
      <c r="CY11" s="19"/>
      <c r="CZ11" s="19"/>
      <c r="DA11" s="19"/>
      <c r="DB11" s="19"/>
      <c r="DC11" s="19"/>
      <c r="DD11" s="19"/>
      <c r="DE11" s="19"/>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19"/>
      <c r="EG11" s="19"/>
      <c r="EH11" s="19"/>
      <c r="EI11" s="19"/>
      <c r="EJ11" s="19"/>
      <c r="EK11" s="19"/>
      <c r="EL11" s="19"/>
      <c r="EM11" s="19"/>
      <c r="EN11" s="19"/>
      <c r="EO11" s="19"/>
      <c r="EP11" s="19"/>
      <c r="EQ11" s="19"/>
      <c r="ER11" s="19"/>
      <c r="ES11" s="19"/>
      <c r="ET11" s="19"/>
      <c r="EU11" s="19"/>
      <c r="EV11" s="19"/>
      <c r="EW11" s="19"/>
      <c r="EX11" s="19"/>
      <c r="EY11" s="19"/>
      <c r="EZ11" s="19"/>
      <c r="FA11" s="19"/>
      <c r="FB11" s="19"/>
      <c r="FC11" s="19"/>
      <c r="FD11" s="19"/>
      <c r="FE11" s="19"/>
      <c r="FF11" s="19"/>
      <c r="FG11" s="19"/>
      <c r="FH11" s="19"/>
      <c r="FI11" s="19"/>
      <c r="FJ11" s="19"/>
      <c r="FK11" s="19"/>
      <c r="FL11" s="19"/>
      <c r="FM11" s="19"/>
      <c r="FN11" s="19"/>
      <c r="FO11" s="19"/>
      <c r="FP11" s="19"/>
      <c r="FQ11" s="19"/>
      <c r="FR11" s="19"/>
      <c r="FS11" s="19"/>
      <c r="FT11" s="19"/>
      <c r="FU11" s="19"/>
      <c r="FV11" s="19"/>
      <c r="FW11" s="19"/>
      <c r="FX11" s="19"/>
      <c r="FY11" s="19"/>
      <c r="FZ11" s="19"/>
      <c r="GA11" s="19"/>
      <c r="GB11" s="19"/>
      <c r="GC11" s="19"/>
      <c r="GD11" s="19"/>
      <c r="GE11" s="19"/>
      <c r="GF11" s="19"/>
      <c r="GG11" s="19"/>
      <c r="GH11" s="19"/>
      <c r="GI11" s="19"/>
      <c r="GJ11" s="19"/>
      <c r="GK11" s="19"/>
      <c r="GL11" s="19"/>
      <c r="GM11" s="19"/>
      <c r="GN11" s="19"/>
      <c r="GO11" s="19"/>
      <c r="GP11" s="19"/>
      <c r="GQ11" s="19"/>
      <c r="GR11" s="19"/>
      <c r="GS11" s="19"/>
      <c r="GT11" s="19"/>
      <c r="GU11" s="19"/>
      <c r="GV11" s="19"/>
      <c r="GW11" s="19"/>
      <c r="GX11" s="19"/>
      <c r="GY11" s="19"/>
      <c r="GZ11" s="19"/>
      <c r="HA11" s="19"/>
      <c r="HB11" s="19"/>
      <c r="HC11" s="19"/>
      <c r="HD11" s="19"/>
      <c r="HE11" s="19"/>
      <c r="HF11" s="19"/>
      <c r="HG11" s="19"/>
      <c r="HH11" s="19"/>
      <c r="HI11" s="19"/>
      <c r="HJ11" s="19"/>
      <c r="HK11" s="19"/>
      <c r="HL11" s="19"/>
      <c r="HM11" s="19"/>
      <c r="HN11" s="19"/>
      <c r="HO11" s="19"/>
      <c r="HP11" s="19"/>
      <c r="HQ11" s="19"/>
      <c r="HR11" s="19"/>
      <c r="HS11" s="19"/>
      <c r="HT11" s="19"/>
      <c r="HU11" s="19"/>
      <c r="HV11" s="19"/>
      <c r="HW11" s="19"/>
      <c r="HX11" s="19"/>
      <c r="HY11" s="19"/>
      <c r="HZ11" s="19"/>
      <c r="IA11" s="19"/>
      <c r="IB11" s="19"/>
      <c r="IC11" s="19"/>
      <c r="ID11" s="19"/>
      <c r="IE11" s="19"/>
      <c r="IF11" s="19"/>
      <c r="IG11" s="19"/>
      <c r="IH11" s="19"/>
      <c r="II11" s="19"/>
      <c r="IJ11" s="19"/>
      <c r="IK11" s="19"/>
      <c r="IL11" s="19"/>
      <c r="IM11" s="19"/>
      <c r="IN11" s="19"/>
      <c r="IO11" s="19"/>
      <c r="IP11" s="19"/>
      <c r="IQ11" s="19"/>
      <c r="IR11" s="19"/>
      <c r="IS11" s="19"/>
      <c r="IT11" s="19"/>
      <c r="IU11" s="19"/>
      <c r="IV11" s="19"/>
      <c r="IW11" s="19"/>
      <c r="IX11" s="19"/>
      <c r="IY11" s="19"/>
      <c r="IZ11" s="19"/>
      <c r="JA11" s="19"/>
      <c r="JB11" s="19"/>
      <c r="JC11" s="19"/>
      <c r="JD11" s="19"/>
      <c r="JE11" s="19"/>
      <c r="JF11" s="19"/>
      <c r="JG11" s="19"/>
      <c r="JH11" s="19"/>
      <c r="JI11" s="19"/>
      <c r="JJ11" s="19"/>
      <c r="JK11" s="19"/>
      <c r="JL11" s="19"/>
      <c r="JM11" s="19"/>
      <c r="JN11" s="19"/>
      <c r="JO11" s="19"/>
      <c r="JP11" s="19"/>
      <c r="JQ11" s="19"/>
      <c r="JR11" s="19"/>
      <c r="JS11" s="19"/>
      <c r="JT11" s="19"/>
      <c r="JU11" s="19"/>
      <c r="JV11" s="19"/>
      <c r="JW11" s="19"/>
      <c r="JX11" s="19"/>
      <c r="JY11" s="19"/>
      <c r="JZ11" s="19"/>
      <c r="KA11" s="19"/>
      <c r="KB11" s="19"/>
      <c r="KC11" s="19"/>
      <c r="KD11" s="19"/>
      <c r="KE11" s="19"/>
      <c r="KF11" s="19"/>
      <c r="KG11" s="19"/>
      <c r="KH11" s="19"/>
      <c r="KI11" s="19"/>
      <c r="KJ11" s="19"/>
      <c r="KK11" s="19"/>
      <c r="KL11" s="19"/>
      <c r="KM11" s="19"/>
      <c r="KN11" s="19"/>
      <c r="KO11" s="19"/>
      <c r="KP11" s="19"/>
      <c r="KQ11" s="19"/>
      <c r="KR11" s="19"/>
      <c r="KS11" s="19"/>
      <c r="KT11" s="19"/>
      <c r="KU11" s="19"/>
      <c r="KV11" s="19"/>
      <c r="KW11" s="19"/>
      <c r="KX11" s="19"/>
      <c r="KY11" s="19"/>
      <c r="KZ11" s="19"/>
      <c r="LA11" s="19"/>
      <c r="LB11" s="19"/>
      <c r="LC11" s="19"/>
      <c r="LD11" s="19"/>
      <c r="LE11" s="19"/>
      <c r="LF11" s="19"/>
      <c r="LG11" s="19"/>
      <c r="LH11" s="19"/>
      <c r="LI11" s="19"/>
      <c r="LJ11" s="19"/>
      <c r="LK11" s="19"/>
      <c r="LL11" s="19"/>
      <c r="LM11" s="19"/>
      <c r="LN11" s="19"/>
      <c r="LO11" s="19"/>
      <c r="LP11" s="19"/>
      <c r="LQ11" s="19"/>
      <c r="LR11" s="19"/>
      <c r="LS11" s="19"/>
      <c r="LT11" s="19"/>
      <c r="LU11" s="19"/>
      <c r="LV11" s="19"/>
      <c r="LW11" s="19"/>
      <c r="LX11" s="19"/>
      <c r="LY11" s="19"/>
      <c r="LZ11" s="19"/>
      <c r="MA11" s="19"/>
      <c r="MB11" s="19"/>
      <c r="MC11" s="19"/>
      <c r="MD11" s="19"/>
      <c r="ME11" s="19"/>
      <c r="MF11" s="19"/>
      <c r="MG11" s="19"/>
      <c r="MH11" s="19"/>
      <c r="MI11" s="19"/>
      <c r="MJ11" s="19"/>
      <c r="MK11" s="19"/>
      <c r="ML11" s="19"/>
      <c r="MM11" s="19"/>
      <c r="MN11" s="19"/>
      <c r="MO11" s="19"/>
      <c r="MP11" s="19"/>
      <c r="MQ11" s="19"/>
      <c r="MR11" s="19"/>
      <c r="MS11" s="19"/>
      <c r="MT11" s="19"/>
      <c r="MU11" s="19"/>
      <c r="MV11" s="19"/>
      <c r="MW11" s="19"/>
      <c r="MX11" s="19"/>
      <c r="MY11" s="19"/>
      <c r="MZ11" s="19"/>
      <c r="NA11" s="19"/>
      <c r="NB11" s="19"/>
      <c r="NC11" s="19"/>
      <c r="ND11" s="19"/>
      <c r="NE11" s="19"/>
      <c r="NF11" s="19"/>
      <c r="NG11" s="19"/>
      <c r="NH11" s="19"/>
      <c r="NI11" s="19"/>
      <c r="NJ11" s="19"/>
      <c r="NK11" s="19"/>
      <c r="NL11" s="19"/>
      <c r="NM11" s="19"/>
      <c r="NN11" s="19"/>
      <c r="NO11" s="19"/>
      <c r="NP11" s="19"/>
      <c r="NQ11" s="19"/>
      <c r="NR11" s="19"/>
      <c r="NS11" s="19"/>
      <c r="NT11" s="19"/>
      <c r="NU11" s="19"/>
      <c r="NV11" s="19"/>
      <c r="NW11" s="19"/>
      <c r="NX11" s="19"/>
      <c r="NY11" s="19"/>
      <c r="NZ11" s="19"/>
      <c r="OA11" s="19"/>
      <c r="OB11" s="19"/>
      <c r="OC11" s="19"/>
      <c r="OD11" s="19"/>
      <c r="OE11" s="19"/>
      <c r="OF11" s="19"/>
      <c r="OG11" s="19"/>
      <c r="OH11" s="19"/>
      <c r="OI11" s="19"/>
      <c r="OJ11" s="19"/>
      <c r="OK11" s="19"/>
      <c r="OL11" s="19"/>
      <c r="OM11" s="19"/>
      <c r="ON11" s="19"/>
      <c r="OO11" s="19"/>
      <c r="OP11" s="19"/>
      <c r="OQ11" s="19"/>
      <c r="OR11" s="19"/>
      <c r="OS11" s="19"/>
      <c r="OT11" s="19"/>
      <c r="OU11" s="19"/>
      <c r="OV11" s="19"/>
      <c r="OW11" s="19"/>
      <c r="OX11" s="19"/>
      <c r="OY11" s="19"/>
      <c r="OZ11" s="19"/>
      <c r="PA11" s="19"/>
      <c r="PB11" s="19"/>
      <c r="PC11" s="19"/>
      <c r="PD11" s="19"/>
      <c r="PE11" s="19"/>
      <c r="PF11" s="19"/>
      <c r="PG11" s="19"/>
      <c r="PH11" s="19"/>
      <c r="PI11" s="19"/>
      <c r="PJ11" s="19"/>
      <c r="PK11" s="19"/>
      <c r="PL11" s="19"/>
      <c r="PM11" s="19"/>
      <c r="PN11" s="19"/>
      <c r="PO11" s="19"/>
      <c r="PP11" s="19"/>
      <c r="PQ11" s="19"/>
      <c r="PR11" s="19"/>
      <c r="PS11" s="19"/>
      <c r="PT11" s="19"/>
      <c r="PU11" s="19"/>
      <c r="PV11" s="19"/>
      <c r="PW11" s="19"/>
      <c r="PX11" s="19"/>
      <c r="PY11" s="19"/>
      <c r="PZ11" s="19"/>
      <c r="QA11" s="19"/>
      <c r="QB11" s="19"/>
      <c r="QC11" s="19"/>
      <c r="QD11" s="19"/>
      <c r="QE11" s="19"/>
      <c r="QF11" s="19"/>
      <c r="QG11" s="19"/>
      <c r="QH11" s="19"/>
      <c r="QI11" s="19"/>
      <c r="QJ11" s="19"/>
      <c r="QK11" s="19"/>
      <c r="QL11" s="19"/>
      <c r="QM11" s="19"/>
      <c r="QN11" s="19"/>
      <c r="QO11" s="19"/>
      <c r="QP11" s="19"/>
      <c r="QQ11" s="19"/>
      <c r="QR11" s="19"/>
      <c r="QS11" s="19"/>
      <c r="QT11" s="19"/>
      <c r="QU11" s="19"/>
      <c r="QV11" s="19"/>
      <c r="QW11" s="19"/>
      <c r="QX11" s="19"/>
      <c r="QY11" s="19"/>
      <c r="QZ11" s="19"/>
      <c r="RA11" s="19"/>
      <c r="RB11" s="19"/>
      <c r="RC11" s="19"/>
      <c r="RD11" s="19"/>
      <c r="RE11" s="19"/>
      <c r="RF11" s="19"/>
      <c r="RG11" s="19"/>
      <c r="RH11" s="19"/>
      <c r="RI11" s="19"/>
      <c r="RJ11" s="19"/>
      <c r="RK11" s="19"/>
      <c r="RL11" s="19"/>
      <c r="RM11" s="19"/>
      <c r="RN11" s="19"/>
      <c r="RO11" s="19"/>
      <c r="RP11" s="19"/>
      <c r="RQ11" s="19"/>
      <c r="RR11" s="19"/>
      <c r="RS11" s="19"/>
      <c r="RT11" s="19"/>
      <c r="RU11" s="19"/>
      <c r="RV11" s="19"/>
      <c r="RW11" s="19"/>
      <c r="RX11" s="19"/>
      <c r="RY11" s="19"/>
      <c r="RZ11" s="19"/>
      <c r="SA11" s="19"/>
      <c r="SB11" s="19"/>
      <c r="SC11" s="19"/>
      <c r="SD11" s="19"/>
      <c r="SE11" s="19"/>
    </row>
    <row r="12" spans="1:499" s="377" customFormat="1" ht="32.25" customHeight="1">
      <c r="A12" s="382" t="s">
        <v>72</v>
      </c>
      <c r="B12" s="660" t="s">
        <v>248</v>
      </c>
      <c r="C12" s="469">
        <v>549.4</v>
      </c>
      <c r="D12" s="476"/>
      <c r="E12" s="471">
        <v>532.20000000000005</v>
      </c>
      <c r="F12" s="452"/>
      <c r="G12" s="472">
        <f t="shared" si="0"/>
        <v>17.199999999999932</v>
      </c>
      <c r="H12" s="469">
        <v>15.1</v>
      </c>
      <c r="I12" s="467"/>
      <c r="J12" s="471">
        <v>14.9</v>
      </c>
      <c r="K12" s="456"/>
      <c r="L12" s="472">
        <f t="shared" si="1"/>
        <v>0.19999999999999929</v>
      </c>
      <c r="M12" s="469">
        <v>0</v>
      </c>
      <c r="N12" s="470"/>
      <c r="O12" s="471">
        <v>0</v>
      </c>
      <c r="P12" s="468"/>
      <c r="Q12" s="472">
        <f t="shared" si="2"/>
        <v>0</v>
      </c>
      <c r="R12" s="469">
        <f>C12+H12+M12</f>
        <v>564.5</v>
      </c>
      <c r="S12" s="549"/>
      <c r="T12" s="471">
        <f t="shared" si="4"/>
        <v>547.1</v>
      </c>
      <c r="U12" s="379"/>
      <c r="V12" s="247">
        <f t="shared" si="5"/>
        <v>17.399999999999977</v>
      </c>
      <c r="W12" s="540"/>
      <c r="X12" s="541"/>
      <c r="Y12" s="20"/>
      <c r="Z12" s="20"/>
      <c r="AA12" s="378"/>
      <c r="AB12" s="376"/>
      <c r="AC12" s="376"/>
      <c r="AD12" s="376"/>
      <c r="AE12" s="376"/>
      <c r="AF12" s="376"/>
      <c r="AG12" s="376"/>
      <c r="AH12" s="376"/>
      <c r="AI12" s="376"/>
      <c r="AJ12" s="376"/>
      <c r="AK12" s="376"/>
      <c r="AL12" s="376"/>
      <c r="AM12" s="376"/>
      <c r="AN12" s="376"/>
      <c r="AO12" s="376"/>
      <c r="AP12" s="376"/>
      <c r="AQ12" s="376"/>
      <c r="AR12" s="376"/>
      <c r="AS12" s="376"/>
      <c r="AT12" s="376"/>
      <c r="AU12" s="376"/>
      <c r="AV12" s="376"/>
      <c r="AW12" s="376"/>
      <c r="AX12" s="376"/>
      <c r="AY12" s="376"/>
      <c r="AZ12" s="376"/>
      <c r="BA12" s="376"/>
      <c r="BB12" s="376"/>
      <c r="BC12" s="376"/>
      <c r="BD12" s="376"/>
      <c r="BE12" s="376"/>
      <c r="BF12" s="376"/>
      <c r="BG12" s="376"/>
      <c r="BH12" s="376"/>
      <c r="BI12" s="376"/>
      <c r="BJ12" s="376"/>
      <c r="BK12" s="376"/>
      <c r="BL12" s="376"/>
      <c r="BM12" s="376"/>
      <c r="BN12" s="376"/>
      <c r="BO12" s="376"/>
      <c r="BP12" s="376"/>
      <c r="BQ12" s="376"/>
      <c r="BR12" s="376"/>
      <c r="BS12" s="376"/>
      <c r="BT12" s="376"/>
      <c r="BU12" s="376"/>
      <c r="BV12" s="376"/>
      <c r="BW12" s="376"/>
      <c r="BX12" s="376"/>
      <c r="BY12" s="376"/>
      <c r="BZ12" s="376"/>
      <c r="CA12" s="376"/>
      <c r="CB12" s="376"/>
      <c r="CC12" s="376"/>
      <c r="CD12" s="376"/>
      <c r="CE12" s="376"/>
      <c r="CF12" s="376"/>
      <c r="CG12" s="376"/>
      <c r="CH12" s="376"/>
      <c r="CI12" s="376"/>
      <c r="CJ12" s="376"/>
      <c r="CK12" s="376"/>
      <c r="CL12" s="376"/>
      <c r="CM12" s="376"/>
      <c r="CN12" s="376"/>
      <c r="CO12" s="376"/>
      <c r="CP12" s="376"/>
      <c r="CQ12" s="376"/>
      <c r="CR12" s="376"/>
      <c r="CS12" s="376"/>
      <c r="CT12" s="376"/>
      <c r="CU12" s="376"/>
      <c r="CV12" s="376"/>
      <c r="CW12" s="376"/>
      <c r="CX12" s="376"/>
      <c r="CY12" s="376"/>
      <c r="CZ12" s="376"/>
      <c r="DA12" s="376"/>
      <c r="DB12" s="376"/>
      <c r="DC12" s="376"/>
      <c r="DD12" s="376"/>
      <c r="DE12" s="376"/>
      <c r="DF12" s="376"/>
      <c r="DG12" s="376"/>
      <c r="DH12" s="376"/>
      <c r="DI12" s="376"/>
      <c r="DJ12" s="376"/>
      <c r="DK12" s="376"/>
      <c r="DL12" s="376"/>
      <c r="DM12" s="376"/>
      <c r="DN12" s="376"/>
      <c r="DO12" s="376"/>
      <c r="DP12" s="376"/>
      <c r="DQ12" s="376"/>
      <c r="DR12" s="376"/>
      <c r="DS12" s="376"/>
      <c r="DT12" s="376"/>
      <c r="DU12" s="376"/>
      <c r="DV12" s="376"/>
      <c r="DW12" s="376"/>
      <c r="DX12" s="376"/>
      <c r="DY12" s="376"/>
      <c r="DZ12" s="376"/>
      <c r="EA12" s="376"/>
      <c r="EB12" s="376"/>
      <c r="EC12" s="376"/>
      <c r="ED12" s="376"/>
      <c r="EE12" s="376"/>
      <c r="EF12" s="376"/>
      <c r="EG12" s="376"/>
      <c r="EH12" s="376"/>
      <c r="EI12" s="376"/>
      <c r="EJ12" s="376"/>
      <c r="EK12" s="376"/>
      <c r="EL12" s="376"/>
      <c r="EM12" s="376"/>
      <c r="EN12" s="376"/>
      <c r="EO12" s="376"/>
      <c r="EP12" s="376"/>
      <c r="EQ12" s="376"/>
      <c r="ER12" s="376"/>
      <c r="ES12" s="376"/>
      <c r="ET12" s="376"/>
      <c r="EU12" s="376"/>
      <c r="EV12" s="376"/>
      <c r="EW12" s="376"/>
      <c r="EX12" s="376"/>
      <c r="EY12" s="376"/>
      <c r="EZ12" s="376"/>
      <c r="FA12" s="376"/>
      <c r="FB12" s="376"/>
      <c r="FC12" s="376"/>
      <c r="FD12" s="376"/>
      <c r="FE12" s="376"/>
      <c r="FF12" s="376"/>
      <c r="FG12" s="376"/>
      <c r="FH12" s="376"/>
      <c r="FI12" s="376"/>
      <c r="FJ12" s="376"/>
      <c r="FK12" s="376"/>
      <c r="FL12" s="376"/>
      <c r="FM12" s="376"/>
      <c r="FN12" s="376"/>
      <c r="FO12" s="376"/>
      <c r="FP12" s="376"/>
      <c r="FQ12" s="376"/>
      <c r="FR12" s="376"/>
      <c r="FS12" s="376"/>
      <c r="FT12" s="376"/>
      <c r="FU12" s="376"/>
      <c r="FV12" s="376"/>
      <c r="FW12" s="376"/>
      <c r="FX12" s="376"/>
      <c r="FY12" s="376"/>
      <c r="FZ12" s="376"/>
      <c r="GA12" s="376"/>
      <c r="GB12" s="376"/>
      <c r="GC12" s="376"/>
      <c r="GD12" s="376"/>
      <c r="GE12" s="376"/>
      <c r="GF12" s="376"/>
      <c r="GG12" s="376"/>
      <c r="GH12" s="376"/>
      <c r="GI12" s="376"/>
      <c r="GJ12" s="376"/>
      <c r="GK12" s="376"/>
      <c r="GL12" s="376"/>
      <c r="GM12" s="376"/>
      <c r="GN12" s="376"/>
      <c r="GO12" s="376"/>
      <c r="GP12" s="376"/>
      <c r="GQ12" s="376"/>
      <c r="GR12" s="376"/>
      <c r="GS12" s="376"/>
      <c r="GT12" s="376"/>
      <c r="GU12" s="376"/>
      <c r="GV12" s="376"/>
      <c r="GW12" s="376"/>
      <c r="GX12" s="376"/>
      <c r="GY12" s="376"/>
      <c r="GZ12" s="376"/>
      <c r="HA12" s="376"/>
      <c r="HB12" s="376"/>
      <c r="HC12" s="376"/>
      <c r="HD12" s="376"/>
      <c r="HE12" s="376"/>
      <c r="HF12" s="376"/>
      <c r="HG12" s="376"/>
      <c r="HH12" s="376"/>
      <c r="HI12" s="376"/>
      <c r="HJ12" s="376"/>
      <c r="HK12" s="376"/>
      <c r="HL12" s="376"/>
      <c r="HM12" s="376"/>
      <c r="HN12" s="376"/>
      <c r="HO12" s="376"/>
      <c r="HP12" s="376"/>
      <c r="HQ12" s="376"/>
      <c r="HR12" s="376"/>
      <c r="HS12" s="376"/>
      <c r="HT12" s="376"/>
      <c r="HU12" s="376"/>
      <c r="HV12" s="376"/>
      <c r="HW12" s="376"/>
      <c r="HX12" s="376"/>
      <c r="HY12" s="376"/>
      <c r="HZ12" s="376"/>
      <c r="IA12" s="376"/>
      <c r="IB12" s="376"/>
      <c r="IC12" s="376"/>
      <c r="ID12" s="376"/>
      <c r="IE12" s="376"/>
      <c r="IF12" s="376"/>
      <c r="IG12" s="376"/>
      <c r="IH12" s="376"/>
      <c r="II12" s="376"/>
      <c r="IJ12" s="376"/>
      <c r="IK12" s="376"/>
      <c r="IL12" s="376"/>
      <c r="IM12" s="376"/>
      <c r="IN12" s="376"/>
      <c r="IO12" s="376"/>
      <c r="IP12" s="376"/>
      <c r="IQ12" s="376"/>
      <c r="IR12" s="376"/>
      <c r="IS12" s="376"/>
      <c r="IT12" s="376"/>
      <c r="IU12" s="376"/>
      <c r="IV12" s="376"/>
      <c r="IW12" s="376"/>
      <c r="IX12" s="376"/>
      <c r="IY12" s="376"/>
      <c r="IZ12" s="376"/>
      <c r="JA12" s="376"/>
      <c r="JB12" s="376"/>
      <c r="JC12" s="376"/>
      <c r="JD12" s="376"/>
      <c r="JE12" s="376"/>
      <c r="JF12" s="376"/>
      <c r="JG12" s="376"/>
      <c r="JH12" s="376"/>
      <c r="JI12" s="376"/>
      <c r="JJ12" s="376"/>
      <c r="JK12" s="376"/>
      <c r="JL12" s="376"/>
      <c r="JM12" s="376"/>
      <c r="JN12" s="376"/>
      <c r="JO12" s="376"/>
      <c r="JP12" s="376"/>
      <c r="JQ12" s="376"/>
      <c r="JR12" s="376"/>
      <c r="JS12" s="376"/>
      <c r="JT12" s="376"/>
      <c r="JU12" s="376"/>
      <c r="JV12" s="376"/>
      <c r="JW12" s="376"/>
      <c r="JX12" s="376"/>
      <c r="JY12" s="376"/>
      <c r="JZ12" s="376"/>
      <c r="KA12" s="376"/>
      <c r="KB12" s="376"/>
      <c r="KC12" s="376"/>
      <c r="KD12" s="376"/>
      <c r="KE12" s="376"/>
      <c r="KF12" s="376"/>
      <c r="KG12" s="376"/>
      <c r="KH12" s="376"/>
      <c r="KI12" s="376"/>
      <c r="KJ12" s="376"/>
      <c r="KK12" s="376"/>
      <c r="KL12" s="376"/>
      <c r="KM12" s="376"/>
      <c r="KN12" s="376"/>
      <c r="KO12" s="376"/>
      <c r="KP12" s="376"/>
      <c r="KQ12" s="376"/>
      <c r="KR12" s="376"/>
      <c r="KS12" s="376"/>
      <c r="KT12" s="376"/>
      <c r="KU12" s="376"/>
      <c r="KV12" s="376"/>
      <c r="KW12" s="376"/>
      <c r="KX12" s="376"/>
      <c r="KY12" s="376"/>
      <c r="KZ12" s="376"/>
      <c r="LA12" s="376"/>
      <c r="LB12" s="376"/>
      <c r="LC12" s="376"/>
      <c r="LD12" s="376"/>
      <c r="LE12" s="376"/>
      <c r="LF12" s="376"/>
      <c r="LG12" s="376"/>
      <c r="LH12" s="376"/>
      <c r="LI12" s="376"/>
      <c r="LJ12" s="376"/>
      <c r="LK12" s="376"/>
      <c r="LL12" s="376"/>
      <c r="LM12" s="376"/>
      <c r="LN12" s="376"/>
      <c r="LO12" s="376"/>
      <c r="LP12" s="376"/>
      <c r="LQ12" s="376"/>
      <c r="LR12" s="376"/>
      <c r="LS12" s="376"/>
      <c r="LT12" s="376"/>
      <c r="LU12" s="376"/>
      <c r="LV12" s="376"/>
      <c r="LW12" s="376"/>
      <c r="LX12" s="376"/>
      <c r="LY12" s="376"/>
      <c r="LZ12" s="376"/>
      <c r="MA12" s="376"/>
      <c r="MB12" s="376"/>
      <c r="MC12" s="376"/>
      <c r="MD12" s="376"/>
      <c r="ME12" s="376"/>
      <c r="MF12" s="376"/>
      <c r="MG12" s="376"/>
      <c r="MH12" s="376"/>
      <c r="MI12" s="376"/>
      <c r="MJ12" s="376"/>
      <c r="MK12" s="376"/>
      <c r="ML12" s="376"/>
      <c r="MM12" s="376"/>
      <c r="MN12" s="376"/>
      <c r="MO12" s="376"/>
      <c r="MP12" s="376"/>
      <c r="MQ12" s="376"/>
      <c r="MR12" s="376"/>
      <c r="MS12" s="376"/>
      <c r="MT12" s="376"/>
      <c r="MU12" s="376"/>
      <c r="MV12" s="376"/>
      <c r="MW12" s="376"/>
      <c r="MX12" s="376"/>
      <c r="MY12" s="376"/>
      <c r="MZ12" s="376"/>
      <c r="NA12" s="376"/>
      <c r="NB12" s="376"/>
      <c r="NC12" s="376"/>
      <c r="ND12" s="376"/>
      <c r="NE12" s="376"/>
      <c r="NF12" s="376"/>
      <c r="NG12" s="376"/>
      <c r="NH12" s="376"/>
      <c r="NI12" s="376"/>
      <c r="NJ12" s="376"/>
      <c r="NK12" s="376"/>
      <c r="NL12" s="376"/>
      <c r="NM12" s="376"/>
      <c r="NN12" s="376"/>
      <c r="NO12" s="376"/>
      <c r="NP12" s="376"/>
      <c r="NQ12" s="376"/>
      <c r="NR12" s="376"/>
      <c r="NS12" s="376"/>
      <c r="NT12" s="376"/>
      <c r="NU12" s="376"/>
      <c r="NV12" s="376"/>
      <c r="NW12" s="376"/>
      <c r="NX12" s="376"/>
      <c r="NY12" s="376"/>
      <c r="NZ12" s="376"/>
      <c r="OA12" s="376"/>
      <c r="OB12" s="376"/>
      <c r="OC12" s="376"/>
      <c r="OD12" s="376"/>
      <c r="OE12" s="376"/>
      <c r="OF12" s="376"/>
      <c r="OG12" s="376"/>
      <c r="OH12" s="376"/>
      <c r="OI12" s="376"/>
      <c r="OJ12" s="376"/>
      <c r="OK12" s="376"/>
      <c r="OL12" s="376"/>
      <c r="OM12" s="376"/>
      <c r="ON12" s="376"/>
      <c r="OO12" s="376"/>
      <c r="OP12" s="376"/>
      <c r="OQ12" s="376"/>
      <c r="OR12" s="376"/>
      <c r="OS12" s="376"/>
      <c r="OT12" s="376"/>
      <c r="OU12" s="376"/>
      <c r="OV12" s="376"/>
      <c r="OW12" s="376"/>
      <c r="OX12" s="376"/>
      <c r="OY12" s="376"/>
      <c r="OZ12" s="376"/>
      <c r="PA12" s="376"/>
      <c r="PB12" s="376"/>
      <c r="PC12" s="376"/>
      <c r="PD12" s="376"/>
      <c r="PE12" s="376"/>
      <c r="PF12" s="376"/>
      <c r="PG12" s="376"/>
      <c r="PH12" s="376"/>
      <c r="PI12" s="376"/>
      <c r="PJ12" s="376"/>
      <c r="PK12" s="376"/>
      <c r="PL12" s="376"/>
      <c r="PM12" s="376"/>
      <c r="PN12" s="376"/>
      <c r="PO12" s="376"/>
      <c r="PP12" s="376"/>
      <c r="PQ12" s="376"/>
      <c r="PR12" s="376"/>
      <c r="PS12" s="376"/>
      <c r="PT12" s="376"/>
      <c r="PU12" s="376"/>
      <c r="PV12" s="376"/>
      <c r="PW12" s="376"/>
      <c r="PX12" s="376"/>
      <c r="PY12" s="376"/>
      <c r="PZ12" s="376"/>
      <c r="QA12" s="376"/>
      <c r="QB12" s="376"/>
      <c r="QC12" s="376"/>
      <c r="QD12" s="376"/>
      <c r="QE12" s="376"/>
      <c r="QF12" s="376"/>
      <c r="QG12" s="376"/>
      <c r="QH12" s="376"/>
      <c r="QI12" s="376"/>
      <c r="QJ12" s="376"/>
      <c r="QK12" s="376"/>
      <c r="QL12" s="376"/>
      <c r="QM12" s="376"/>
      <c r="QN12" s="376"/>
      <c r="QO12" s="376"/>
      <c r="QP12" s="376"/>
      <c r="QQ12" s="376"/>
      <c r="QR12" s="376"/>
      <c r="QS12" s="376"/>
      <c r="QT12" s="376"/>
      <c r="QU12" s="376"/>
      <c r="QV12" s="376"/>
      <c r="QW12" s="376"/>
      <c r="QX12" s="376"/>
      <c r="QY12" s="376"/>
      <c r="QZ12" s="376"/>
      <c r="RA12" s="376"/>
      <c r="RB12" s="376"/>
      <c r="RC12" s="376"/>
      <c r="RD12" s="376"/>
      <c r="RE12" s="376"/>
      <c r="RF12" s="376"/>
      <c r="RG12" s="376"/>
      <c r="RH12" s="376"/>
      <c r="RI12" s="376"/>
      <c r="RJ12" s="376"/>
      <c r="RK12" s="376"/>
      <c r="RL12" s="376"/>
      <c r="RM12" s="376"/>
      <c r="RN12" s="376"/>
      <c r="RO12" s="376"/>
      <c r="RP12" s="376"/>
      <c r="RQ12" s="376"/>
      <c r="RR12" s="376"/>
      <c r="RS12" s="376"/>
      <c r="RT12" s="376"/>
      <c r="RU12" s="376"/>
      <c r="RV12" s="376"/>
      <c r="RW12" s="376"/>
      <c r="RX12" s="376"/>
      <c r="RY12" s="376"/>
      <c r="RZ12" s="376"/>
      <c r="SA12" s="376"/>
      <c r="SB12" s="376"/>
      <c r="SC12" s="376"/>
      <c r="SD12" s="376"/>
      <c r="SE12" s="376"/>
    </row>
    <row r="13" spans="1:499" s="386" customFormat="1" ht="27" customHeight="1">
      <c r="A13" s="18" t="s">
        <v>89</v>
      </c>
      <c r="B13" s="18" t="s">
        <v>290</v>
      </c>
      <c r="C13" s="475">
        <f>C11-C12</f>
        <v>330.20000000000005</v>
      </c>
      <c r="D13" s="476"/>
      <c r="E13" s="477">
        <f>E11-E12</f>
        <v>360.4</v>
      </c>
      <c r="F13" s="452"/>
      <c r="G13" s="478">
        <f t="shared" si="0"/>
        <v>-30.199999999999932</v>
      </c>
      <c r="H13" s="475">
        <f>H11-H12</f>
        <v>132</v>
      </c>
      <c r="I13" s="476"/>
      <c r="J13" s="477">
        <f>J11-J12</f>
        <v>130.79999999999998</v>
      </c>
      <c r="K13" s="459"/>
      <c r="L13" s="478">
        <f t="shared" si="1"/>
        <v>1.2000000000000171</v>
      </c>
      <c r="M13" s="475">
        <f>M11-M12</f>
        <v>0</v>
      </c>
      <c r="N13" s="479"/>
      <c r="O13" s="477">
        <f>O11-O12</f>
        <v>0</v>
      </c>
      <c r="P13" s="477"/>
      <c r="Q13" s="478">
        <f t="shared" si="2"/>
        <v>0</v>
      </c>
      <c r="R13" s="475">
        <f t="shared" si="3"/>
        <v>462.20000000000005</v>
      </c>
      <c r="S13" s="476"/>
      <c r="T13" s="477">
        <f>E13+J13+O13</f>
        <v>491.19999999999993</v>
      </c>
      <c r="U13" s="480"/>
      <c r="V13" s="248">
        <f t="shared" si="5"/>
        <v>-28.999999999999886</v>
      </c>
      <c r="W13" s="540"/>
      <c r="X13" s="541"/>
      <c r="Y13" s="20"/>
      <c r="Z13" s="20"/>
      <c r="AA13" s="385"/>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c r="HA13" s="19"/>
      <c r="HB13" s="19"/>
      <c r="HC13" s="19"/>
      <c r="HD13" s="19"/>
      <c r="HE13" s="19"/>
      <c r="HF13" s="19"/>
      <c r="HG13" s="19"/>
      <c r="HH13" s="19"/>
      <c r="HI13" s="19"/>
      <c r="HJ13" s="19"/>
      <c r="HK13" s="19"/>
      <c r="HL13" s="19"/>
      <c r="HM13" s="19"/>
      <c r="HN13" s="19"/>
      <c r="HO13" s="19"/>
      <c r="HP13" s="19"/>
      <c r="HQ13" s="19"/>
      <c r="HR13" s="19"/>
      <c r="HS13" s="19"/>
      <c r="HT13" s="19"/>
      <c r="HU13" s="19"/>
      <c r="HV13" s="19"/>
      <c r="HW13" s="19"/>
      <c r="HX13" s="19"/>
      <c r="HY13" s="19"/>
      <c r="HZ13" s="19"/>
      <c r="IA13" s="19"/>
      <c r="IB13" s="19"/>
      <c r="IC13" s="19"/>
      <c r="ID13" s="19"/>
      <c r="IE13" s="19"/>
      <c r="IF13" s="19"/>
      <c r="IG13" s="19"/>
      <c r="IH13" s="19"/>
      <c r="II13" s="19"/>
      <c r="IJ13" s="19"/>
      <c r="IK13" s="19"/>
      <c r="IL13" s="19"/>
      <c r="IM13" s="19"/>
      <c r="IN13" s="19"/>
      <c r="IO13" s="19"/>
      <c r="IP13" s="19"/>
      <c r="IQ13" s="19"/>
      <c r="IR13" s="19"/>
      <c r="IS13" s="19"/>
      <c r="IT13" s="19"/>
      <c r="IU13" s="19"/>
      <c r="IV13" s="19"/>
      <c r="IW13" s="19"/>
      <c r="IX13" s="19"/>
      <c r="IY13" s="19"/>
      <c r="IZ13" s="19"/>
      <c r="JA13" s="19"/>
      <c r="JB13" s="19"/>
      <c r="JC13" s="19"/>
      <c r="JD13" s="19"/>
      <c r="JE13" s="19"/>
      <c r="JF13" s="19"/>
      <c r="JG13" s="19"/>
      <c r="JH13" s="19"/>
      <c r="JI13" s="19"/>
      <c r="JJ13" s="19"/>
      <c r="JK13" s="19"/>
      <c r="JL13" s="19"/>
      <c r="JM13" s="19"/>
      <c r="JN13" s="19"/>
      <c r="JO13" s="19"/>
      <c r="JP13" s="19"/>
      <c r="JQ13" s="19"/>
      <c r="JR13" s="19"/>
      <c r="JS13" s="19"/>
      <c r="JT13" s="19"/>
      <c r="JU13" s="19"/>
      <c r="JV13" s="19"/>
      <c r="JW13" s="19"/>
      <c r="JX13" s="19"/>
      <c r="JY13" s="19"/>
      <c r="JZ13" s="19"/>
      <c r="KA13" s="19"/>
      <c r="KB13" s="19"/>
      <c r="KC13" s="19"/>
      <c r="KD13" s="19"/>
      <c r="KE13" s="19"/>
      <c r="KF13" s="19"/>
      <c r="KG13" s="19"/>
      <c r="KH13" s="19"/>
      <c r="KI13" s="19"/>
      <c r="KJ13" s="19"/>
      <c r="KK13" s="19"/>
      <c r="KL13" s="19"/>
      <c r="KM13" s="19"/>
      <c r="KN13" s="19"/>
      <c r="KO13" s="19"/>
      <c r="KP13" s="19"/>
      <c r="KQ13" s="19"/>
      <c r="KR13" s="19"/>
      <c r="KS13" s="19"/>
      <c r="KT13" s="19"/>
      <c r="KU13" s="19"/>
      <c r="KV13" s="19"/>
      <c r="KW13" s="19"/>
      <c r="KX13" s="19"/>
      <c r="KY13" s="19"/>
      <c r="KZ13" s="19"/>
      <c r="LA13" s="19"/>
      <c r="LB13" s="19"/>
      <c r="LC13" s="19"/>
      <c r="LD13" s="19"/>
      <c r="LE13" s="19"/>
      <c r="LF13" s="19"/>
      <c r="LG13" s="19"/>
      <c r="LH13" s="19"/>
      <c r="LI13" s="19"/>
      <c r="LJ13" s="19"/>
      <c r="LK13" s="19"/>
      <c r="LL13" s="19"/>
      <c r="LM13" s="19"/>
      <c r="LN13" s="19"/>
      <c r="LO13" s="19"/>
      <c r="LP13" s="19"/>
      <c r="LQ13" s="19"/>
      <c r="LR13" s="19"/>
      <c r="LS13" s="19"/>
      <c r="LT13" s="19"/>
      <c r="LU13" s="19"/>
      <c r="LV13" s="19"/>
      <c r="LW13" s="19"/>
      <c r="LX13" s="19"/>
      <c r="LY13" s="19"/>
      <c r="LZ13" s="19"/>
      <c r="MA13" s="19"/>
      <c r="MB13" s="19"/>
      <c r="MC13" s="19"/>
      <c r="MD13" s="19"/>
      <c r="ME13" s="19"/>
      <c r="MF13" s="19"/>
      <c r="MG13" s="19"/>
      <c r="MH13" s="19"/>
      <c r="MI13" s="19"/>
      <c r="MJ13" s="19"/>
      <c r="MK13" s="19"/>
      <c r="ML13" s="19"/>
      <c r="MM13" s="19"/>
      <c r="MN13" s="19"/>
      <c r="MO13" s="19"/>
      <c r="MP13" s="19"/>
      <c r="MQ13" s="19"/>
      <c r="MR13" s="19"/>
      <c r="MS13" s="19"/>
      <c r="MT13" s="19"/>
      <c r="MU13" s="19"/>
      <c r="MV13" s="19"/>
      <c r="MW13" s="19"/>
      <c r="MX13" s="19"/>
      <c r="MY13" s="19"/>
      <c r="MZ13" s="19"/>
      <c r="NA13" s="19"/>
      <c r="NB13" s="19"/>
      <c r="NC13" s="19"/>
      <c r="ND13" s="19"/>
      <c r="NE13" s="19"/>
      <c r="NF13" s="19"/>
      <c r="NG13" s="19"/>
      <c r="NH13" s="19"/>
      <c r="NI13" s="19"/>
      <c r="NJ13" s="19"/>
      <c r="NK13" s="19"/>
      <c r="NL13" s="19"/>
      <c r="NM13" s="19"/>
      <c r="NN13" s="19"/>
      <c r="NO13" s="19"/>
      <c r="NP13" s="19"/>
      <c r="NQ13" s="19"/>
      <c r="NR13" s="19"/>
      <c r="NS13" s="19"/>
      <c r="NT13" s="19"/>
      <c r="NU13" s="19"/>
      <c r="NV13" s="19"/>
      <c r="NW13" s="19"/>
      <c r="NX13" s="19"/>
      <c r="NY13" s="19"/>
      <c r="NZ13" s="19"/>
      <c r="OA13" s="19"/>
      <c r="OB13" s="19"/>
      <c r="OC13" s="19"/>
      <c r="OD13" s="19"/>
      <c r="OE13" s="19"/>
      <c r="OF13" s="19"/>
      <c r="OG13" s="19"/>
      <c r="OH13" s="19"/>
      <c r="OI13" s="19"/>
      <c r="OJ13" s="19"/>
      <c r="OK13" s="19"/>
      <c r="OL13" s="19"/>
      <c r="OM13" s="19"/>
      <c r="ON13" s="19"/>
      <c r="OO13" s="19"/>
      <c r="OP13" s="19"/>
      <c r="OQ13" s="19"/>
      <c r="OR13" s="19"/>
      <c r="OS13" s="19"/>
      <c r="OT13" s="19"/>
      <c r="OU13" s="19"/>
      <c r="OV13" s="19"/>
      <c r="OW13" s="19"/>
      <c r="OX13" s="19"/>
      <c r="OY13" s="19"/>
      <c r="OZ13" s="19"/>
      <c r="PA13" s="19"/>
      <c r="PB13" s="19"/>
      <c r="PC13" s="19"/>
      <c r="PD13" s="19"/>
      <c r="PE13" s="19"/>
      <c r="PF13" s="19"/>
      <c r="PG13" s="19"/>
      <c r="PH13" s="19"/>
      <c r="PI13" s="19"/>
      <c r="PJ13" s="19"/>
      <c r="PK13" s="19"/>
      <c r="PL13" s="19"/>
      <c r="PM13" s="19"/>
      <c r="PN13" s="19"/>
      <c r="PO13" s="19"/>
      <c r="PP13" s="19"/>
      <c r="PQ13" s="19"/>
      <c r="PR13" s="19"/>
      <c r="PS13" s="19"/>
      <c r="PT13" s="19"/>
      <c r="PU13" s="19"/>
      <c r="PV13" s="19"/>
      <c r="PW13" s="19"/>
      <c r="PX13" s="19"/>
      <c r="PY13" s="19"/>
      <c r="PZ13" s="19"/>
      <c r="QA13" s="19"/>
      <c r="QB13" s="19"/>
      <c r="QC13" s="19"/>
      <c r="QD13" s="19"/>
      <c r="QE13" s="19"/>
      <c r="QF13" s="19"/>
      <c r="QG13" s="19"/>
      <c r="QH13" s="19"/>
      <c r="QI13" s="19"/>
      <c r="QJ13" s="19"/>
      <c r="QK13" s="19"/>
      <c r="QL13" s="19"/>
      <c r="QM13" s="19"/>
      <c r="QN13" s="19"/>
      <c r="QO13" s="19"/>
      <c r="QP13" s="19"/>
      <c r="QQ13" s="19"/>
      <c r="QR13" s="19"/>
      <c r="QS13" s="19"/>
      <c r="QT13" s="19"/>
      <c r="QU13" s="19"/>
      <c r="QV13" s="19"/>
      <c r="QW13" s="19"/>
      <c r="QX13" s="19"/>
      <c r="QY13" s="19"/>
      <c r="QZ13" s="19"/>
      <c r="RA13" s="19"/>
      <c r="RB13" s="19"/>
      <c r="RC13" s="19"/>
      <c r="RD13" s="19"/>
      <c r="RE13" s="19"/>
      <c r="RF13" s="19"/>
      <c r="RG13" s="19"/>
      <c r="RH13" s="19"/>
      <c r="RI13" s="19"/>
      <c r="RJ13" s="19"/>
      <c r="RK13" s="19"/>
      <c r="RL13" s="19"/>
      <c r="RM13" s="19"/>
      <c r="RN13" s="19"/>
      <c r="RO13" s="19"/>
      <c r="RP13" s="19"/>
      <c r="RQ13" s="19"/>
      <c r="RR13" s="19"/>
      <c r="RS13" s="19"/>
      <c r="RT13" s="19"/>
      <c r="RU13" s="19"/>
      <c r="RV13" s="19"/>
      <c r="RW13" s="19"/>
      <c r="RX13" s="19"/>
      <c r="RY13" s="19"/>
      <c r="RZ13" s="19"/>
      <c r="SA13" s="19"/>
      <c r="SB13" s="19"/>
      <c r="SC13" s="19"/>
      <c r="SD13" s="19"/>
      <c r="SE13" s="19"/>
    </row>
    <row r="14" spans="1:499" s="377" customFormat="1" ht="48" customHeight="1" thickBot="1">
      <c r="A14" s="387" t="s">
        <v>108</v>
      </c>
      <c r="B14" s="661" t="s">
        <v>291</v>
      </c>
      <c r="C14" s="481">
        <v>317.3</v>
      </c>
      <c r="D14" s="576">
        <v>1</v>
      </c>
      <c r="E14" s="573">
        <v>376.8</v>
      </c>
      <c r="F14" s="455">
        <v>1</v>
      </c>
      <c r="G14" s="250">
        <f t="shared" si="0"/>
        <v>-59.5</v>
      </c>
      <c r="H14" s="481">
        <v>23.7</v>
      </c>
      <c r="I14" s="618"/>
      <c r="J14" s="573">
        <v>9</v>
      </c>
      <c r="K14" s="617"/>
      <c r="L14" s="250">
        <f t="shared" si="1"/>
        <v>14.7</v>
      </c>
      <c r="M14" s="481">
        <v>0</v>
      </c>
      <c r="N14" s="481"/>
      <c r="O14" s="573">
        <v>0</v>
      </c>
      <c r="P14" s="482"/>
      <c r="Q14" s="250">
        <f t="shared" si="2"/>
        <v>0</v>
      </c>
      <c r="R14" s="481">
        <f t="shared" si="3"/>
        <v>341</v>
      </c>
      <c r="S14" s="432"/>
      <c r="T14" s="573">
        <f t="shared" si="4"/>
        <v>385.8</v>
      </c>
      <c r="U14" s="388"/>
      <c r="V14" s="250">
        <f t="shared" si="5"/>
        <v>-44.800000000000011</v>
      </c>
      <c r="W14" s="540"/>
      <c r="X14" s="541"/>
      <c r="Y14" s="20"/>
      <c r="Z14" s="20"/>
      <c r="AA14" s="378"/>
      <c r="AB14" s="376"/>
      <c r="AC14" s="376"/>
      <c r="AD14" s="376"/>
      <c r="AE14" s="376"/>
      <c r="AF14" s="376"/>
      <c r="AG14" s="376"/>
      <c r="AH14" s="376"/>
      <c r="AI14" s="376"/>
      <c r="AJ14" s="376"/>
      <c r="AK14" s="376"/>
      <c r="AL14" s="376"/>
      <c r="AM14" s="376"/>
      <c r="AN14" s="376"/>
      <c r="AO14" s="376"/>
      <c r="AP14" s="376"/>
      <c r="AQ14" s="376"/>
      <c r="AR14" s="376"/>
      <c r="AS14" s="376"/>
      <c r="AT14" s="376"/>
      <c r="AU14" s="376"/>
      <c r="AV14" s="376"/>
      <c r="AW14" s="376"/>
      <c r="AX14" s="376"/>
      <c r="AY14" s="376"/>
      <c r="AZ14" s="376"/>
      <c r="BA14" s="376"/>
      <c r="BB14" s="376"/>
      <c r="BC14" s="376"/>
      <c r="BD14" s="376"/>
      <c r="BE14" s="376"/>
      <c r="BF14" s="376"/>
      <c r="BG14" s="376"/>
      <c r="BH14" s="376"/>
      <c r="BI14" s="376"/>
      <c r="BJ14" s="376"/>
      <c r="BK14" s="376"/>
      <c r="BL14" s="376"/>
      <c r="BM14" s="376"/>
      <c r="BN14" s="376"/>
      <c r="BO14" s="376"/>
      <c r="BP14" s="376"/>
      <c r="BQ14" s="376"/>
      <c r="BR14" s="376"/>
      <c r="BS14" s="376"/>
      <c r="BT14" s="376"/>
      <c r="BU14" s="376"/>
      <c r="BV14" s="376"/>
      <c r="BW14" s="376"/>
      <c r="BX14" s="376"/>
      <c r="BY14" s="376"/>
      <c r="BZ14" s="376"/>
      <c r="CA14" s="376"/>
      <c r="CB14" s="376"/>
      <c r="CC14" s="376"/>
      <c r="CD14" s="376"/>
      <c r="CE14" s="376"/>
      <c r="CF14" s="376"/>
      <c r="CG14" s="376"/>
      <c r="CH14" s="376"/>
      <c r="CI14" s="376"/>
      <c r="CJ14" s="376"/>
      <c r="CK14" s="376"/>
      <c r="CL14" s="376"/>
      <c r="CM14" s="376"/>
      <c r="CN14" s="376"/>
      <c r="CO14" s="376"/>
      <c r="CP14" s="376"/>
      <c r="CQ14" s="376"/>
      <c r="CR14" s="376"/>
      <c r="CS14" s="376"/>
      <c r="CT14" s="376"/>
      <c r="CU14" s="376"/>
      <c r="CV14" s="376"/>
      <c r="CW14" s="376"/>
      <c r="CX14" s="376"/>
      <c r="CY14" s="376"/>
      <c r="CZ14" s="376"/>
      <c r="DA14" s="376"/>
      <c r="DB14" s="376"/>
      <c r="DC14" s="376"/>
      <c r="DD14" s="376"/>
      <c r="DE14" s="376"/>
      <c r="DF14" s="376"/>
      <c r="DG14" s="376"/>
      <c r="DH14" s="376"/>
      <c r="DI14" s="376"/>
      <c r="DJ14" s="376"/>
      <c r="DK14" s="376"/>
      <c r="DL14" s="376"/>
      <c r="DM14" s="376"/>
      <c r="DN14" s="376"/>
      <c r="DO14" s="376"/>
      <c r="DP14" s="376"/>
      <c r="DQ14" s="376"/>
      <c r="DR14" s="376"/>
      <c r="DS14" s="376"/>
      <c r="DT14" s="376"/>
      <c r="DU14" s="376"/>
      <c r="DV14" s="376"/>
      <c r="DW14" s="376"/>
      <c r="DX14" s="376"/>
      <c r="DY14" s="376"/>
      <c r="DZ14" s="376"/>
      <c r="EA14" s="376"/>
      <c r="EB14" s="376"/>
      <c r="EC14" s="376"/>
      <c r="ED14" s="376"/>
      <c r="EE14" s="376"/>
      <c r="EF14" s="376"/>
      <c r="EG14" s="376"/>
      <c r="EH14" s="376"/>
      <c r="EI14" s="376"/>
      <c r="EJ14" s="376"/>
      <c r="EK14" s="376"/>
      <c r="EL14" s="376"/>
      <c r="EM14" s="376"/>
      <c r="EN14" s="376"/>
      <c r="EO14" s="376"/>
      <c r="EP14" s="376"/>
      <c r="EQ14" s="376"/>
      <c r="ER14" s="376"/>
      <c r="ES14" s="376"/>
      <c r="ET14" s="376"/>
      <c r="EU14" s="376"/>
      <c r="EV14" s="376"/>
      <c r="EW14" s="376"/>
      <c r="EX14" s="376"/>
      <c r="EY14" s="376"/>
      <c r="EZ14" s="376"/>
      <c r="FA14" s="376"/>
      <c r="FB14" s="376"/>
      <c r="FC14" s="376"/>
      <c r="FD14" s="376"/>
      <c r="FE14" s="376"/>
      <c r="FF14" s="376"/>
      <c r="FG14" s="376"/>
      <c r="FH14" s="376"/>
      <c r="FI14" s="376"/>
      <c r="FJ14" s="376"/>
      <c r="FK14" s="376"/>
      <c r="FL14" s="376"/>
      <c r="FM14" s="376"/>
      <c r="FN14" s="376"/>
      <c r="FO14" s="376"/>
      <c r="FP14" s="376"/>
      <c r="FQ14" s="376"/>
      <c r="FR14" s="376"/>
      <c r="FS14" s="376"/>
      <c r="FT14" s="376"/>
      <c r="FU14" s="376"/>
      <c r="FV14" s="376"/>
      <c r="FW14" s="376"/>
      <c r="FX14" s="376"/>
      <c r="FY14" s="376"/>
      <c r="FZ14" s="376"/>
      <c r="GA14" s="376"/>
      <c r="GB14" s="376"/>
      <c r="GC14" s="376"/>
      <c r="GD14" s="376"/>
      <c r="GE14" s="376"/>
      <c r="GF14" s="376"/>
      <c r="GG14" s="376"/>
      <c r="GH14" s="376"/>
      <c r="GI14" s="376"/>
      <c r="GJ14" s="376"/>
      <c r="GK14" s="376"/>
      <c r="GL14" s="376"/>
      <c r="GM14" s="376"/>
      <c r="GN14" s="376"/>
      <c r="GO14" s="376"/>
      <c r="GP14" s="376"/>
      <c r="GQ14" s="376"/>
      <c r="GR14" s="376"/>
      <c r="GS14" s="376"/>
      <c r="GT14" s="376"/>
      <c r="GU14" s="376"/>
      <c r="GV14" s="376"/>
      <c r="GW14" s="376"/>
      <c r="GX14" s="376"/>
      <c r="GY14" s="376"/>
      <c r="GZ14" s="376"/>
      <c r="HA14" s="376"/>
      <c r="HB14" s="376"/>
      <c r="HC14" s="376"/>
      <c r="HD14" s="376"/>
      <c r="HE14" s="376"/>
      <c r="HF14" s="376"/>
      <c r="HG14" s="376"/>
      <c r="HH14" s="376"/>
      <c r="HI14" s="376"/>
      <c r="HJ14" s="376"/>
      <c r="HK14" s="376"/>
      <c r="HL14" s="376"/>
      <c r="HM14" s="376"/>
      <c r="HN14" s="376"/>
      <c r="HO14" s="376"/>
      <c r="HP14" s="376"/>
      <c r="HQ14" s="376"/>
      <c r="HR14" s="376"/>
      <c r="HS14" s="376"/>
      <c r="HT14" s="376"/>
      <c r="HU14" s="376"/>
      <c r="HV14" s="376"/>
      <c r="HW14" s="376"/>
      <c r="HX14" s="376"/>
      <c r="HY14" s="376"/>
      <c r="HZ14" s="376"/>
      <c r="IA14" s="376"/>
      <c r="IB14" s="376"/>
      <c r="IC14" s="376"/>
      <c r="ID14" s="376"/>
      <c r="IE14" s="376"/>
      <c r="IF14" s="376"/>
      <c r="IG14" s="376"/>
      <c r="IH14" s="376"/>
      <c r="II14" s="376"/>
      <c r="IJ14" s="376"/>
      <c r="IK14" s="376"/>
      <c r="IL14" s="376"/>
      <c r="IM14" s="376"/>
      <c r="IN14" s="376"/>
      <c r="IO14" s="376"/>
      <c r="IP14" s="376"/>
      <c r="IQ14" s="376"/>
      <c r="IR14" s="376"/>
      <c r="IS14" s="376"/>
      <c r="IT14" s="376"/>
      <c r="IU14" s="376"/>
      <c r="IV14" s="376"/>
      <c r="IW14" s="376"/>
      <c r="IX14" s="376"/>
      <c r="IY14" s="376"/>
      <c r="IZ14" s="376"/>
      <c r="JA14" s="376"/>
      <c r="JB14" s="376"/>
      <c r="JC14" s="376"/>
      <c r="JD14" s="376"/>
      <c r="JE14" s="376"/>
      <c r="JF14" s="376"/>
      <c r="JG14" s="376"/>
      <c r="JH14" s="376"/>
      <c r="JI14" s="376"/>
      <c r="JJ14" s="376"/>
      <c r="JK14" s="376"/>
      <c r="JL14" s="376"/>
      <c r="JM14" s="376"/>
      <c r="JN14" s="376"/>
      <c r="JO14" s="376"/>
      <c r="JP14" s="376"/>
      <c r="JQ14" s="376"/>
      <c r="JR14" s="376"/>
      <c r="JS14" s="376"/>
      <c r="JT14" s="376"/>
      <c r="JU14" s="376"/>
      <c r="JV14" s="376"/>
      <c r="JW14" s="376"/>
      <c r="JX14" s="376"/>
      <c r="JY14" s="376"/>
      <c r="JZ14" s="376"/>
      <c r="KA14" s="376"/>
      <c r="KB14" s="376"/>
      <c r="KC14" s="376"/>
      <c r="KD14" s="376"/>
      <c r="KE14" s="376"/>
      <c r="KF14" s="376"/>
      <c r="KG14" s="376"/>
      <c r="KH14" s="376"/>
      <c r="KI14" s="376"/>
      <c r="KJ14" s="376"/>
      <c r="KK14" s="376"/>
      <c r="KL14" s="376"/>
      <c r="KM14" s="376"/>
      <c r="KN14" s="376"/>
      <c r="KO14" s="376"/>
      <c r="KP14" s="376"/>
      <c r="KQ14" s="376"/>
      <c r="KR14" s="376"/>
      <c r="KS14" s="376"/>
      <c r="KT14" s="376"/>
      <c r="KU14" s="376"/>
      <c r="KV14" s="376"/>
      <c r="KW14" s="376"/>
      <c r="KX14" s="376"/>
      <c r="KY14" s="376"/>
      <c r="KZ14" s="376"/>
      <c r="LA14" s="376"/>
      <c r="LB14" s="376"/>
      <c r="LC14" s="376"/>
      <c r="LD14" s="376"/>
      <c r="LE14" s="376"/>
      <c r="LF14" s="376"/>
      <c r="LG14" s="376"/>
      <c r="LH14" s="376"/>
      <c r="LI14" s="376"/>
      <c r="LJ14" s="376"/>
      <c r="LK14" s="376"/>
      <c r="LL14" s="376"/>
      <c r="LM14" s="376"/>
      <c r="LN14" s="376"/>
      <c r="LO14" s="376"/>
      <c r="LP14" s="376"/>
      <c r="LQ14" s="376"/>
      <c r="LR14" s="376"/>
      <c r="LS14" s="376"/>
      <c r="LT14" s="376"/>
      <c r="LU14" s="376"/>
      <c r="LV14" s="376"/>
      <c r="LW14" s="376"/>
      <c r="LX14" s="376"/>
      <c r="LY14" s="376"/>
      <c r="LZ14" s="376"/>
      <c r="MA14" s="376"/>
      <c r="MB14" s="376"/>
      <c r="MC14" s="376"/>
      <c r="MD14" s="376"/>
      <c r="ME14" s="376"/>
      <c r="MF14" s="376"/>
      <c r="MG14" s="376"/>
      <c r="MH14" s="376"/>
      <c r="MI14" s="376"/>
      <c r="MJ14" s="376"/>
      <c r="MK14" s="376"/>
      <c r="ML14" s="376"/>
      <c r="MM14" s="376"/>
      <c r="MN14" s="376"/>
      <c r="MO14" s="376"/>
      <c r="MP14" s="376"/>
      <c r="MQ14" s="376"/>
      <c r="MR14" s="376"/>
      <c r="MS14" s="376"/>
      <c r="MT14" s="376"/>
      <c r="MU14" s="376"/>
      <c r="MV14" s="376"/>
      <c r="MW14" s="376"/>
      <c r="MX14" s="376"/>
      <c r="MY14" s="376"/>
      <c r="MZ14" s="376"/>
      <c r="NA14" s="376"/>
      <c r="NB14" s="376"/>
      <c r="NC14" s="376"/>
      <c r="ND14" s="376"/>
      <c r="NE14" s="376"/>
      <c r="NF14" s="376"/>
      <c r="NG14" s="376"/>
      <c r="NH14" s="376"/>
      <c r="NI14" s="376"/>
      <c r="NJ14" s="376"/>
      <c r="NK14" s="376"/>
      <c r="NL14" s="376"/>
      <c r="NM14" s="376"/>
      <c r="NN14" s="376"/>
      <c r="NO14" s="376"/>
      <c r="NP14" s="376"/>
      <c r="NQ14" s="376"/>
      <c r="NR14" s="376"/>
      <c r="NS14" s="376"/>
      <c r="NT14" s="376"/>
      <c r="NU14" s="376"/>
      <c r="NV14" s="376"/>
      <c r="NW14" s="376"/>
      <c r="NX14" s="376"/>
      <c r="NY14" s="376"/>
      <c r="NZ14" s="376"/>
      <c r="OA14" s="376"/>
      <c r="OB14" s="376"/>
      <c r="OC14" s="376"/>
      <c r="OD14" s="376"/>
      <c r="OE14" s="376"/>
      <c r="OF14" s="376"/>
      <c r="OG14" s="376"/>
      <c r="OH14" s="376"/>
      <c r="OI14" s="376"/>
      <c r="OJ14" s="376"/>
      <c r="OK14" s="376"/>
      <c r="OL14" s="376"/>
      <c r="OM14" s="376"/>
      <c r="ON14" s="376"/>
      <c r="OO14" s="376"/>
      <c r="OP14" s="376"/>
      <c r="OQ14" s="376"/>
      <c r="OR14" s="376"/>
      <c r="OS14" s="376"/>
      <c r="OT14" s="376"/>
      <c r="OU14" s="376"/>
      <c r="OV14" s="376"/>
      <c r="OW14" s="376"/>
      <c r="OX14" s="376"/>
      <c r="OY14" s="376"/>
      <c r="OZ14" s="376"/>
      <c r="PA14" s="376"/>
      <c r="PB14" s="376"/>
      <c r="PC14" s="376"/>
      <c r="PD14" s="376"/>
      <c r="PE14" s="376"/>
      <c r="PF14" s="376"/>
      <c r="PG14" s="376"/>
      <c r="PH14" s="376"/>
      <c r="PI14" s="376"/>
      <c r="PJ14" s="376"/>
      <c r="PK14" s="376"/>
      <c r="PL14" s="376"/>
      <c r="PM14" s="376"/>
      <c r="PN14" s="376"/>
      <c r="PO14" s="376"/>
      <c r="PP14" s="376"/>
      <c r="PQ14" s="376"/>
      <c r="PR14" s="376"/>
      <c r="PS14" s="376"/>
      <c r="PT14" s="376"/>
      <c r="PU14" s="376"/>
      <c r="PV14" s="376"/>
      <c r="PW14" s="376"/>
      <c r="PX14" s="376"/>
      <c r="PY14" s="376"/>
      <c r="PZ14" s="376"/>
      <c r="QA14" s="376"/>
      <c r="QB14" s="376"/>
      <c r="QC14" s="376"/>
      <c r="QD14" s="376"/>
      <c r="QE14" s="376"/>
      <c r="QF14" s="376"/>
      <c r="QG14" s="376"/>
      <c r="QH14" s="376"/>
      <c r="QI14" s="376"/>
      <c r="QJ14" s="376"/>
      <c r="QK14" s="376"/>
      <c r="QL14" s="376"/>
      <c r="QM14" s="376"/>
      <c r="QN14" s="376"/>
      <c r="QO14" s="376"/>
      <c r="QP14" s="376"/>
      <c r="QQ14" s="376"/>
      <c r="QR14" s="376"/>
      <c r="QS14" s="376"/>
      <c r="QT14" s="376"/>
      <c r="QU14" s="376"/>
      <c r="QV14" s="376"/>
      <c r="QW14" s="376"/>
      <c r="QX14" s="376"/>
      <c r="QY14" s="376"/>
      <c r="QZ14" s="376"/>
      <c r="RA14" s="376"/>
      <c r="RB14" s="376"/>
      <c r="RC14" s="376"/>
      <c r="RD14" s="376"/>
      <c r="RE14" s="376"/>
      <c r="RF14" s="376"/>
      <c r="RG14" s="376"/>
      <c r="RH14" s="376"/>
      <c r="RI14" s="376"/>
      <c r="RJ14" s="376"/>
      <c r="RK14" s="376"/>
      <c r="RL14" s="376"/>
      <c r="RM14" s="376"/>
      <c r="RN14" s="376"/>
      <c r="RO14" s="376"/>
      <c r="RP14" s="376"/>
      <c r="RQ14" s="376"/>
      <c r="RR14" s="376"/>
      <c r="RS14" s="376"/>
      <c r="RT14" s="376"/>
      <c r="RU14" s="376"/>
      <c r="RV14" s="376"/>
      <c r="RW14" s="376"/>
      <c r="RX14" s="376"/>
      <c r="RY14" s="376"/>
      <c r="RZ14" s="376"/>
      <c r="SA14" s="376"/>
      <c r="SB14" s="376"/>
      <c r="SC14" s="376"/>
      <c r="SD14" s="376"/>
      <c r="SE14" s="376"/>
    </row>
    <row r="15" spans="1:499" s="599" customFormat="1" ht="20.25" customHeight="1">
      <c r="A15" s="590" t="s">
        <v>238</v>
      </c>
      <c r="B15" s="590" t="s">
        <v>295</v>
      </c>
      <c r="C15" s="595"/>
      <c r="D15" s="591"/>
      <c r="E15" s="597"/>
      <c r="F15" s="592"/>
      <c r="G15" s="593"/>
      <c r="H15" s="595"/>
      <c r="I15" s="594"/>
      <c r="J15" s="597"/>
      <c r="K15" s="592"/>
      <c r="L15" s="593"/>
      <c r="M15" s="595"/>
      <c r="N15" s="596"/>
      <c r="O15" s="597"/>
      <c r="P15" s="592"/>
      <c r="Q15" s="593"/>
      <c r="R15" s="595"/>
      <c r="S15" s="595"/>
      <c r="T15" s="597"/>
      <c r="U15" s="598"/>
      <c r="V15" s="593"/>
      <c r="W15" s="540"/>
      <c r="X15" s="541"/>
      <c r="Y15" s="541"/>
      <c r="Z15" s="541"/>
      <c r="AA15" s="539"/>
      <c r="AB15" s="538"/>
      <c r="AC15" s="538"/>
      <c r="AD15" s="538"/>
      <c r="AE15" s="538"/>
      <c r="AF15" s="538"/>
      <c r="AG15" s="538"/>
      <c r="AH15" s="538"/>
      <c r="AI15" s="538"/>
      <c r="AJ15" s="538"/>
      <c r="AK15" s="538"/>
      <c r="AL15" s="538"/>
      <c r="AM15" s="538"/>
      <c r="AN15" s="538"/>
      <c r="AO15" s="538"/>
      <c r="AP15" s="538"/>
      <c r="AQ15" s="538"/>
      <c r="AR15" s="538"/>
      <c r="AS15" s="538"/>
      <c r="AT15" s="538"/>
      <c r="AU15" s="538"/>
      <c r="AV15" s="538"/>
      <c r="AW15" s="538"/>
      <c r="AX15" s="538"/>
      <c r="AY15" s="538"/>
      <c r="AZ15" s="538"/>
      <c r="BA15" s="538"/>
      <c r="BB15" s="538"/>
      <c r="BC15" s="538"/>
      <c r="BD15" s="538"/>
      <c r="BE15" s="538"/>
      <c r="BF15" s="538"/>
      <c r="BG15" s="538"/>
      <c r="BH15" s="538"/>
      <c r="BI15" s="538"/>
      <c r="BJ15" s="538"/>
      <c r="BK15" s="538"/>
      <c r="BL15" s="538"/>
      <c r="BM15" s="538"/>
      <c r="BN15" s="538"/>
      <c r="BO15" s="538"/>
      <c r="BP15" s="538"/>
      <c r="BQ15" s="538"/>
      <c r="BR15" s="538"/>
      <c r="BS15" s="538"/>
      <c r="BT15" s="538"/>
      <c r="BU15" s="538"/>
      <c r="BV15" s="538"/>
      <c r="BW15" s="538"/>
      <c r="BX15" s="538"/>
      <c r="BY15" s="538"/>
      <c r="BZ15" s="538"/>
      <c r="CA15" s="538"/>
      <c r="CB15" s="538"/>
      <c r="CC15" s="538"/>
      <c r="CD15" s="538"/>
      <c r="CE15" s="538"/>
      <c r="CF15" s="538"/>
      <c r="CG15" s="538"/>
      <c r="CH15" s="538"/>
      <c r="CI15" s="538"/>
      <c r="CJ15" s="538"/>
      <c r="CK15" s="538"/>
      <c r="CL15" s="538"/>
      <c r="CM15" s="538"/>
      <c r="CN15" s="538"/>
      <c r="CO15" s="538"/>
      <c r="CP15" s="538"/>
      <c r="CQ15" s="538"/>
      <c r="CR15" s="538"/>
      <c r="CS15" s="538"/>
      <c r="CT15" s="538"/>
      <c r="CU15" s="538"/>
      <c r="CV15" s="538"/>
      <c r="CW15" s="538"/>
      <c r="CX15" s="538"/>
      <c r="CY15" s="538"/>
      <c r="CZ15" s="538"/>
      <c r="DA15" s="538"/>
      <c r="DB15" s="538"/>
      <c r="DC15" s="538"/>
      <c r="DD15" s="538"/>
      <c r="DE15" s="538"/>
      <c r="DF15" s="538"/>
      <c r="DG15" s="538"/>
      <c r="DH15" s="538"/>
      <c r="DI15" s="538"/>
      <c r="DJ15" s="538"/>
      <c r="DK15" s="538"/>
      <c r="DL15" s="538"/>
      <c r="DM15" s="538"/>
      <c r="DN15" s="538"/>
      <c r="DO15" s="538"/>
      <c r="DP15" s="538"/>
      <c r="DQ15" s="538"/>
      <c r="DR15" s="538"/>
      <c r="DS15" s="538"/>
      <c r="DT15" s="538"/>
      <c r="DU15" s="538"/>
      <c r="DV15" s="538"/>
      <c r="DW15" s="538"/>
      <c r="DX15" s="538"/>
      <c r="DY15" s="538"/>
      <c r="DZ15" s="538"/>
      <c r="EA15" s="538"/>
      <c r="EB15" s="538"/>
      <c r="EC15" s="538"/>
      <c r="ED15" s="538"/>
      <c r="EE15" s="538"/>
      <c r="EF15" s="538"/>
      <c r="EG15" s="538"/>
      <c r="EH15" s="538"/>
      <c r="EI15" s="538"/>
      <c r="EJ15" s="538"/>
      <c r="EK15" s="538"/>
      <c r="EL15" s="538"/>
      <c r="EM15" s="538"/>
      <c r="EN15" s="538"/>
      <c r="EO15" s="538"/>
      <c r="EP15" s="538"/>
      <c r="EQ15" s="538"/>
      <c r="ER15" s="538"/>
      <c r="ES15" s="538"/>
      <c r="ET15" s="538"/>
      <c r="EU15" s="538"/>
      <c r="EV15" s="538"/>
      <c r="EW15" s="538"/>
      <c r="EX15" s="538"/>
      <c r="EY15" s="538"/>
      <c r="EZ15" s="538"/>
      <c r="FA15" s="538"/>
      <c r="FB15" s="538"/>
      <c r="FC15" s="538"/>
      <c r="FD15" s="538"/>
      <c r="FE15" s="538"/>
      <c r="FF15" s="538"/>
      <c r="FG15" s="538"/>
      <c r="FH15" s="538"/>
      <c r="FI15" s="538"/>
      <c r="FJ15" s="538"/>
      <c r="FK15" s="538"/>
      <c r="FL15" s="538"/>
      <c r="FM15" s="538"/>
      <c r="FN15" s="538"/>
      <c r="FO15" s="538"/>
      <c r="FP15" s="538"/>
      <c r="FQ15" s="538"/>
      <c r="FR15" s="538"/>
      <c r="FS15" s="538"/>
      <c r="FT15" s="538"/>
      <c r="FU15" s="538"/>
      <c r="FV15" s="538"/>
      <c r="FW15" s="538"/>
      <c r="FX15" s="538"/>
      <c r="FY15" s="538"/>
      <c r="FZ15" s="538"/>
      <c r="GA15" s="538"/>
      <c r="GB15" s="538"/>
      <c r="GC15" s="538"/>
      <c r="GD15" s="538"/>
      <c r="GE15" s="538"/>
      <c r="GF15" s="538"/>
      <c r="GG15" s="538"/>
      <c r="GH15" s="538"/>
      <c r="GI15" s="538"/>
      <c r="GJ15" s="538"/>
      <c r="GK15" s="538"/>
      <c r="GL15" s="538"/>
      <c r="GM15" s="538"/>
      <c r="GN15" s="538"/>
      <c r="GO15" s="538"/>
      <c r="GP15" s="538"/>
      <c r="GQ15" s="538"/>
      <c r="GR15" s="538"/>
      <c r="GS15" s="538"/>
      <c r="GT15" s="538"/>
      <c r="GU15" s="538"/>
      <c r="GV15" s="538"/>
      <c r="GW15" s="538"/>
      <c r="GX15" s="538"/>
      <c r="GY15" s="538"/>
      <c r="GZ15" s="538"/>
      <c r="HA15" s="538"/>
      <c r="HB15" s="538"/>
      <c r="HC15" s="538"/>
      <c r="HD15" s="538"/>
      <c r="HE15" s="538"/>
      <c r="HF15" s="538"/>
      <c r="HG15" s="538"/>
      <c r="HH15" s="538"/>
      <c r="HI15" s="538"/>
      <c r="HJ15" s="538"/>
      <c r="HK15" s="538"/>
      <c r="HL15" s="538"/>
      <c r="HM15" s="538"/>
      <c r="HN15" s="538"/>
      <c r="HO15" s="538"/>
      <c r="HP15" s="538"/>
      <c r="HQ15" s="538"/>
      <c r="HR15" s="538"/>
      <c r="HS15" s="538"/>
      <c r="HT15" s="538"/>
      <c r="HU15" s="538"/>
      <c r="HV15" s="538"/>
      <c r="HW15" s="538"/>
      <c r="HX15" s="538"/>
      <c r="HY15" s="538"/>
      <c r="HZ15" s="538"/>
      <c r="IA15" s="538"/>
      <c r="IB15" s="538"/>
      <c r="IC15" s="538"/>
      <c r="ID15" s="538"/>
      <c r="IE15" s="538"/>
      <c r="IF15" s="538"/>
      <c r="IG15" s="538"/>
      <c r="IH15" s="538"/>
      <c r="II15" s="538"/>
      <c r="IJ15" s="538"/>
      <c r="IK15" s="538"/>
      <c r="IL15" s="538"/>
      <c r="IM15" s="538"/>
      <c r="IN15" s="538"/>
      <c r="IO15" s="538"/>
      <c r="IP15" s="538"/>
      <c r="IQ15" s="538"/>
      <c r="IR15" s="538"/>
      <c r="IS15" s="538"/>
      <c r="IT15" s="538"/>
      <c r="IU15" s="538"/>
      <c r="IV15" s="538"/>
      <c r="IW15" s="538"/>
      <c r="IX15" s="538"/>
      <c r="IY15" s="538"/>
      <c r="IZ15" s="538"/>
      <c r="JA15" s="538"/>
      <c r="JB15" s="538"/>
      <c r="JC15" s="538"/>
      <c r="JD15" s="538"/>
      <c r="JE15" s="538"/>
      <c r="JF15" s="538"/>
      <c r="JG15" s="538"/>
      <c r="JH15" s="538"/>
      <c r="JI15" s="538"/>
      <c r="JJ15" s="538"/>
      <c r="JK15" s="538"/>
      <c r="JL15" s="538"/>
      <c r="JM15" s="538"/>
      <c r="JN15" s="538"/>
      <c r="JO15" s="538"/>
      <c r="JP15" s="538"/>
      <c r="JQ15" s="538"/>
      <c r="JR15" s="538"/>
      <c r="JS15" s="538"/>
      <c r="JT15" s="538"/>
      <c r="JU15" s="538"/>
      <c r="JV15" s="538"/>
      <c r="JW15" s="538"/>
      <c r="JX15" s="538"/>
      <c r="JY15" s="538"/>
      <c r="JZ15" s="538"/>
      <c r="KA15" s="538"/>
      <c r="KB15" s="538"/>
      <c r="KC15" s="538"/>
      <c r="KD15" s="538"/>
      <c r="KE15" s="538"/>
      <c r="KF15" s="538"/>
      <c r="KG15" s="538"/>
      <c r="KH15" s="538"/>
      <c r="KI15" s="538"/>
      <c r="KJ15" s="538"/>
      <c r="KK15" s="538"/>
      <c r="KL15" s="538"/>
      <c r="KM15" s="538"/>
      <c r="KN15" s="538"/>
      <c r="KO15" s="538"/>
      <c r="KP15" s="538"/>
      <c r="KQ15" s="538"/>
      <c r="KR15" s="538"/>
      <c r="KS15" s="538"/>
      <c r="KT15" s="538"/>
      <c r="KU15" s="538"/>
      <c r="KV15" s="538"/>
      <c r="KW15" s="538"/>
      <c r="KX15" s="538"/>
      <c r="KY15" s="538"/>
      <c r="KZ15" s="538"/>
      <c r="LA15" s="538"/>
      <c r="LB15" s="538"/>
      <c r="LC15" s="538"/>
      <c r="LD15" s="538"/>
      <c r="LE15" s="538"/>
      <c r="LF15" s="538"/>
      <c r="LG15" s="538"/>
      <c r="LH15" s="538"/>
      <c r="LI15" s="538"/>
      <c r="LJ15" s="538"/>
      <c r="LK15" s="538"/>
      <c r="LL15" s="538"/>
      <c r="LM15" s="538"/>
      <c r="LN15" s="538"/>
      <c r="LO15" s="538"/>
      <c r="LP15" s="538"/>
      <c r="LQ15" s="538"/>
      <c r="LR15" s="538"/>
      <c r="LS15" s="538"/>
      <c r="LT15" s="538"/>
      <c r="LU15" s="538"/>
      <c r="LV15" s="538"/>
      <c r="LW15" s="538"/>
      <c r="LX15" s="538"/>
      <c r="LY15" s="538"/>
      <c r="LZ15" s="538"/>
      <c r="MA15" s="538"/>
      <c r="MB15" s="538"/>
      <c r="MC15" s="538"/>
      <c r="MD15" s="538"/>
      <c r="ME15" s="538"/>
      <c r="MF15" s="538"/>
      <c r="MG15" s="538"/>
      <c r="MH15" s="538"/>
      <c r="MI15" s="538"/>
      <c r="MJ15" s="538"/>
      <c r="MK15" s="538"/>
      <c r="ML15" s="538"/>
      <c r="MM15" s="538"/>
      <c r="MN15" s="538"/>
      <c r="MO15" s="538"/>
      <c r="MP15" s="538"/>
      <c r="MQ15" s="538"/>
      <c r="MR15" s="538"/>
      <c r="MS15" s="538"/>
      <c r="MT15" s="538"/>
      <c r="MU15" s="538"/>
      <c r="MV15" s="538"/>
      <c r="MW15" s="538"/>
      <c r="MX15" s="538"/>
      <c r="MY15" s="538"/>
      <c r="MZ15" s="538"/>
      <c r="NA15" s="538"/>
      <c r="NB15" s="538"/>
      <c r="NC15" s="538"/>
      <c r="ND15" s="538"/>
      <c r="NE15" s="538"/>
      <c r="NF15" s="538"/>
      <c r="NG15" s="538"/>
      <c r="NH15" s="538"/>
      <c r="NI15" s="538"/>
      <c r="NJ15" s="538"/>
      <c r="NK15" s="538"/>
      <c r="NL15" s="538"/>
      <c r="NM15" s="538"/>
      <c r="NN15" s="538"/>
      <c r="NO15" s="538"/>
      <c r="NP15" s="538"/>
      <c r="NQ15" s="538"/>
      <c r="NR15" s="538"/>
      <c r="NS15" s="538"/>
      <c r="NT15" s="538"/>
      <c r="NU15" s="538"/>
      <c r="NV15" s="538"/>
      <c r="NW15" s="538"/>
      <c r="NX15" s="538"/>
      <c r="NY15" s="538"/>
      <c r="NZ15" s="538"/>
      <c r="OA15" s="538"/>
      <c r="OB15" s="538"/>
      <c r="OC15" s="538"/>
      <c r="OD15" s="538"/>
      <c r="OE15" s="538"/>
      <c r="OF15" s="538"/>
      <c r="OG15" s="538"/>
      <c r="OH15" s="538"/>
      <c r="OI15" s="538"/>
      <c r="OJ15" s="538"/>
      <c r="OK15" s="538"/>
      <c r="OL15" s="538"/>
      <c r="OM15" s="538"/>
      <c r="ON15" s="538"/>
      <c r="OO15" s="538"/>
      <c r="OP15" s="538"/>
      <c r="OQ15" s="538"/>
      <c r="OR15" s="538"/>
      <c r="OS15" s="538"/>
      <c r="OT15" s="538"/>
      <c r="OU15" s="538"/>
      <c r="OV15" s="538"/>
      <c r="OW15" s="538"/>
      <c r="OX15" s="538"/>
      <c r="OY15" s="538"/>
      <c r="OZ15" s="538"/>
      <c r="PA15" s="538"/>
      <c r="PB15" s="538"/>
      <c r="PC15" s="538"/>
      <c r="PD15" s="538"/>
      <c r="PE15" s="538"/>
      <c r="PF15" s="538"/>
      <c r="PG15" s="538"/>
      <c r="PH15" s="538"/>
      <c r="PI15" s="538"/>
      <c r="PJ15" s="538"/>
      <c r="PK15" s="538"/>
      <c r="PL15" s="538"/>
      <c r="PM15" s="538"/>
      <c r="PN15" s="538"/>
      <c r="PO15" s="538"/>
      <c r="PP15" s="538"/>
      <c r="PQ15" s="538"/>
      <c r="PR15" s="538"/>
      <c r="PS15" s="538"/>
      <c r="PT15" s="538"/>
      <c r="PU15" s="538"/>
      <c r="PV15" s="538"/>
      <c r="PW15" s="538"/>
      <c r="PX15" s="538"/>
      <c r="PY15" s="538"/>
      <c r="PZ15" s="538"/>
      <c r="QA15" s="538"/>
      <c r="QB15" s="538"/>
      <c r="QC15" s="538"/>
      <c r="QD15" s="538"/>
      <c r="QE15" s="538"/>
      <c r="QF15" s="538"/>
      <c r="QG15" s="538"/>
      <c r="QH15" s="538"/>
      <c r="QI15" s="538"/>
      <c r="QJ15" s="538"/>
      <c r="QK15" s="538"/>
      <c r="QL15" s="538"/>
      <c r="QM15" s="538"/>
      <c r="QN15" s="538"/>
      <c r="QO15" s="538"/>
      <c r="QP15" s="538"/>
      <c r="QQ15" s="538"/>
      <c r="QR15" s="538"/>
      <c r="QS15" s="538"/>
      <c r="QT15" s="538"/>
      <c r="QU15" s="538"/>
      <c r="QV15" s="538"/>
      <c r="QW15" s="538"/>
      <c r="QX15" s="538"/>
      <c r="QY15" s="538"/>
      <c r="QZ15" s="538"/>
      <c r="RA15" s="538"/>
      <c r="RB15" s="538"/>
      <c r="RC15" s="538"/>
      <c r="RD15" s="538"/>
      <c r="RE15" s="538"/>
      <c r="RF15" s="538"/>
      <c r="RG15" s="538"/>
      <c r="RH15" s="538"/>
      <c r="RI15" s="538"/>
      <c r="RJ15" s="538"/>
      <c r="RK15" s="538"/>
      <c r="RL15" s="538"/>
      <c r="RM15" s="538"/>
      <c r="RN15" s="538"/>
      <c r="RO15" s="538"/>
      <c r="RP15" s="538"/>
      <c r="RQ15" s="538"/>
      <c r="RR15" s="538"/>
      <c r="RS15" s="538"/>
      <c r="RT15" s="538"/>
      <c r="RU15" s="538"/>
      <c r="RV15" s="538"/>
      <c r="RW15" s="538"/>
      <c r="RX15" s="538"/>
      <c r="RY15" s="538"/>
      <c r="RZ15" s="538"/>
      <c r="SA15" s="538"/>
      <c r="SB15" s="538"/>
      <c r="SC15" s="538"/>
      <c r="SD15" s="538"/>
      <c r="SE15" s="538"/>
    </row>
    <row r="16" spans="1:499" s="377" customFormat="1" ht="20.25" customHeight="1">
      <c r="A16" s="547" t="s">
        <v>109</v>
      </c>
      <c r="B16" s="660" t="s">
        <v>292</v>
      </c>
      <c r="C16" s="469">
        <v>27196.3</v>
      </c>
      <c r="D16" s="577"/>
      <c r="E16" s="471">
        <v>25860.5</v>
      </c>
      <c r="F16" s="453"/>
      <c r="G16" s="458">
        <f>C16-E16</f>
        <v>1335.7999999999993</v>
      </c>
      <c r="H16" s="469">
        <v>5532.6</v>
      </c>
      <c r="I16" s="464">
        <v>2</v>
      </c>
      <c r="J16" s="471">
        <v>5665.9</v>
      </c>
      <c r="K16" s="461">
        <v>3</v>
      </c>
      <c r="L16" s="458">
        <f>H16-J16</f>
        <v>-133.29999999999927</v>
      </c>
      <c r="M16" s="469">
        <v>-70.2</v>
      </c>
      <c r="N16" s="483"/>
      <c r="O16" s="471">
        <v>-62.6</v>
      </c>
      <c r="P16" s="484"/>
      <c r="Q16" s="458">
        <f>M16-O16</f>
        <v>-7.6000000000000014</v>
      </c>
      <c r="R16" s="469">
        <f>C16+H16+M16</f>
        <v>32658.7</v>
      </c>
      <c r="S16" s="549"/>
      <c r="T16" s="471">
        <f>J16+O16+E16</f>
        <v>31463.8</v>
      </c>
      <c r="U16" s="383"/>
      <c r="V16" s="245">
        <f>R16-T16</f>
        <v>1194.9000000000015</v>
      </c>
      <c r="W16" s="540"/>
      <c r="X16" s="541"/>
      <c r="Y16" s="381"/>
      <c r="Z16" s="381"/>
      <c r="AA16" s="378"/>
      <c r="AB16" s="376"/>
      <c r="AC16" s="376"/>
      <c r="AD16" s="376"/>
      <c r="AE16" s="376"/>
      <c r="AF16" s="376"/>
      <c r="AG16" s="376"/>
      <c r="AH16" s="376"/>
      <c r="AI16" s="376"/>
      <c r="AJ16" s="376"/>
      <c r="AK16" s="376"/>
      <c r="AL16" s="376"/>
      <c r="AM16" s="376"/>
      <c r="AN16" s="376"/>
      <c r="AO16" s="376"/>
      <c r="AP16" s="376"/>
      <c r="AQ16" s="376"/>
      <c r="AR16" s="376"/>
      <c r="AS16" s="376"/>
      <c r="AT16" s="376"/>
      <c r="AU16" s="376"/>
      <c r="AV16" s="376"/>
      <c r="AW16" s="376"/>
      <c r="AX16" s="376"/>
      <c r="AY16" s="376"/>
      <c r="AZ16" s="376"/>
      <c r="BA16" s="376"/>
      <c r="BB16" s="376"/>
      <c r="BC16" s="376"/>
      <c r="BD16" s="376"/>
      <c r="BE16" s="376"/>
      <c r="BF16" s="376"/>
      <c r="BG16" s="376"/>
      <c r="BH16" s="376"/>
      <c r="BI16" s="376"/>
      <c r="BJ16" s="376"/>
      <c r="BK16" s="376"/>
      <c r="BL16" s="376"/>
      <c r="BM16" s="376"/>
      <c r="BN16" s="376"/>
      <c r="BO16" s="376"/>
      <c r="BP16" s="376"/>
      <c r="BQ16" s="376"/>
      <c r="BR16" s="376"/>
      <c r="BS16" s="376"/>
      <c r="BT16" s="376"/>
      <c r="BU16" s="376"/>
      <c r="BV16" s="376"/>
      <c r="BW16" s="376"/>
      <c r="BX16" s="376"/>
      <c r="BY16" s="376"/>
      <c r="BZ16" s="376"/>
      <c r="CA16" s="376"/>
      <c r="CB16" s="376"/>
      <c r="CC16" s="376"/>
      <c r="CD16" s="376"/>
      <c r="CE16" s="376"/>
      <c r="CF16" s="376"/>
      <c r="CG16" s="376"/>
      <c r="CH16" s="376"/>
      <c r="CI16" s="376"/>
      <c r="CJ16" s="376"/>
      <c r="CK16" s="376"/>
      <c r="CL16" s="376"/>
      <c r="CM16" s="376"/>
      <c r="CN16" s="376"/>
      <c r="CO16" s="376"/>
      <c r="CP16" s="376"/>
      <c r="CQ16" s="376"/>
      <c r="CR16" s="376"/>
      <c r="CS16" s="376"/>
      <c r="CT16" s="376"/>
      <c r="CU16" s="376"/>
      <c r="CV16" s="376"/>
      <c r="CW16" s="376"/>
      <c r="CX16" s="376"/>
      <c r="CY16" s="376"/>
      <c r="CZ16" s="376"/>
      <c r="DA16" s="376"/>
      <c r="DB16" s="376"/>
      <c r="DC16" s="376"/>
      <c r="DD16" s="376"/>
      <c r="DE16" s="376"/>
      <c r="DF16" s="376"/>
      <c r="DG16" s="376"/>
      <c r="DH16" s="376"/>
      <c r="DI16" s="376"/>
      <c r="DJ16" s="376"/>
      <c r="DK16" s="376"/>
      <c r="DL16" s="376"/>
      <c r="DM16" s="376"/>
      <c r="DN16" s="376"/>
      <c r="DO16" s="376"/>
      <c r="DP16" s="376"/>
      <c r="DQ16" s="376"/>
      <c r="DR16" s="376"/>
      <c r="DS16" s="376"/>
      <c r="DT16" s="376"/>
      <c r="DU16" s="376"/>
      <c r="DV16" s="376"/>
      <c r="DW16" s="376"/>
      <c r="DX16" s="376"/>
      <c r="DY16" s="376"/>
      <c r="DZ16" s="376"/>
      <c r="EA16" s="376"/>
      <c r="EB16" s="376"/>
      <c r="EC16" s="376"/>
      <c r="ED16" s="376"/>
      <c r="EE16" s="376"/>
      <c r="EF16" s="376"/>
      <c r="EG16" s="376"/>
      <c r="EH16" s="376"/>
      <c r="EI16" s="376"/>
      <c r="EJ16" s="376"/>
      <c r="EK16" s="376"/>
      <c r="EL16" s="376"/>
      <c r="EM16" s="376"/>
      <c r="EN16" s="376"/>
      <c r="EO16" s="376"/>
      <c r="EP16" s="376"/>
      <c r="EQ16" s="376"/>
      <c r="ER16" s="376"/>
      <c r="ES16" s="376"/>
      <c r="ET16" s="376"/>
      <c r="EU16" s="376"/>
      <c r="EV16" s="376"/>
      <c r="EW16" s="376"/>
      <c r="EX16" s="376"/>
      <c r="EY16" s="376"/>
      <c r="EZ16" s="376"/>
      <c r="FA16" s="376"/>
      <c r="FB16" s="376"/>
      <c r="FC16" s="376"/>
      <c r="FD16" s="376"/>
      <c r="FE16" s="376"/>
      <c r="FF16" s="376"/>
      <c r="FG16" s="376"/>
      <c r="FH16" s="376"/>
      <c r="FI16" s="376"/>
      <c r="FJ16" s="376"/>
      <c r="FK16" s="376"/>
      <c r="FL16" s="376"/>
      <c r="FM16" s="376"/>
      <c r="FN16" s="376"/>
      <c r="FO16" s="376"/>
      <c r="FP16" s="376"/>
      <c r="FQ16" s="376"/>
      <c r="FR16" s="376"/>
      <c r="FS16" s="376"/>
      <c r="FT16" s="376"/>
      <c r="FU16" s="376"/>
      <c r="FV16" s="376"/>
      <c r="FW16" s="376"/>
      <c r="FX16" s="376"/>
      <c r="FY16" s="376"/>
      <c r="FZ16" s="376"/>
      <c r="GA16" s="376"/>
      <c r="GB16" s="376"/>
      <c r="GC16" s="376"/>
      <c r="GD16" s="376"/>
      <c r="GE16" s="376"/>
      <c r="GF16" s="376"/>
      <c r="GG16" s="376"/>
      <c r="GH16" s="376"/>
      <c r="GI16" s="376"/>
      <c r="GJ16" s="376"/>
      <c r="GK16" s="376"/>
      <c r="GL16" s="376"/>
      <c r="GM16" s="376"/>
      <c r="GN16" s="376"/>
      <c r="GO16" s="376"/>
      <c r="GP16" s="376"/>
      <c r="GQ16" s="376"/>
      <c r="GR16" s="376"/>
      <c r="GS16" s="376"/>
      <c r="GT16" s="376"/>
      <c r="GU16" s="376"/>
      <c r="GV16" s="376"/>
      <c r="GW16" s="376"/>
      <c r="GX16" s="376"/>
      <c r="GY16" s="376"/>
      <c r="GZ16" s="376"/>
      <c r="HA16" s="376"/>
      <c r="HB16" s="376"/>
      <c r="HC16" s="376"/>
      <c r="HD16" s="376"/>
      <c r="HE16" s="376"/>
      <c r="HF16" s="376"/>
      <c r="HG16" s="376"/>
      <c r="HH16" s="376"/>
      <c r="HI16" s="376"/>
      <c r="HJ16" s="376"/>
      <c r="HK16" s="376"/>
      <c r="HL16" s="376"/>
      <c r="HM16" s="376"/>
      <c r="HN16" s="376"/>
      <c r="HO16" s="376"/>
      <c r="HP16" s="376"/>
      <c r="HQ16" s="376"/>
      <c r="HR16" s="376"/>
      <c r="HS16" s="376"/>
      <c r="HT16" s="376"/>
      <c r="HU16" s="376"/>
      <c r="HV16" s="376"/>
      <c r="HW16" s="376"/>
      <c r="HX16" s="376"/>
      <c r="HY16" s="376"/>
      <c r="HZ16" s="376"/>
      <c r="IA16" s="376"/>
      <c r="IB16" s="376"/>
      <c r="IC16" s="376"/>
      <c r="ID16" s="376"/>
      <c r="IE16" s="376"/>
      <c r="IF16" s="376"/>
      <c r="IG16" s="376"/>
      <c r="IH16" s="376"/>
      <c r="II16" s="376"/>
      <c r="IJ16" s="376"/>
      <c r="IK16" s="376"/>
      <c r="IL16" s="376"/>
      <c r="IM16" s="376"/>
      <c r="IN16" s="376"/>
      <c r="IO16" s="376"/>
      <c r="IP16" s="376"/>
      <c r="IQ16" s="376"/>
      <c r="IR16" s="376"/>
      <c r="IS16" s="376"/>
      <c r="IT16" s="376"/>
      <c r="IU16" s="376"/>
      <c r="IV16" s="376"/>
      <c r="IW16" s="376"/>
      <c r="IX16" s="376"/>
      <c r="IY16" s="376"/>
      <c r="IZ16" s="376"/>
      <c r="JA16" s="376"/>
      <c r="JB16" s="376"/>
      <c r="JC16" s="376"/>
      <c r="JD16" s="376"/>
      <c r="JE16" s="376"/>
      <c r="JF16" s="376"/>
      <c r="JG16" s="376"/>
      <c r="JH16" s="376"/>
      <c r="JI16" s="376"/>
      <c r="JJ16" s="376"/>
      <c r="JK16" s="376"/>
      <c r="JL16" s="376"/>
      <c r="JM16" s="376"/>
      <c r="JN16" s="376"/>
      <c r="JO16" s="376"/>
      <c r="JP16" s="376"/>
      <c r="JQ16" s="376"/>
      <c r="JR16" s="376"/>
      <c r="JS16" s="376"/>
      <c r="JT16" s="376"/>
      <c r="JU16" s="376"/>
      <c r="JV16" s="376"/>
      <c r="JW16" s="376"/>
      <c r="JX16" s="376"/>
      <c r="JY16" s="376"/>
      <c r="JZ16" s="376"/>
      <c r="KA16" s="376"/>
      <c r="KB16" s="376"/>
      <c r="KC16" s="376"/>
      <c r="KD16" s="376"/>
      <c r="KE16" s="376"/>
      <c r="KF16" s="376"/>
      <c r="KG16" s="376"/>
      <c r="KH16" s="376"/>
      <c r="KI16" s="376"/>
      <c r="KJ16" s="376"/>
      <c r="KK16" s="376"/>
      <c r="KL16" s="376"/>
      <c r="KM16" s="376"/>
      <c r="KN16" s="376"/>
      <c r="KO16" s="376"/>
      <c r="KP16" s="376"/>
      <c r="KQ16" s="376"/>
      <c r="KR16" s="376"/>
      <c r="KS16" s="376"/>
      <c r="KT16" s="376"/>
      <c r="KU16" s="376"/>
      <c r="KV16" s="376"/>
      <c r="KW16" s="376"/>
      <c r="KX16" s="376"/>
      <c r="KY16" s="376"/>
      <c r="KZ16" s="376"/>
      <c r="LA16" s="376"/>
      <c r="LB16" s="376"/>
      <c r="LC16" s="376"/>
      <c r="LD16" s="376"/>
      <c r="LE16" s="376"/>
      <c r="LF16" s="376"/>
      <c r="LG16" s="376"/>
      <c r="LH16" s="376"/>
      <c r="LI16" s="376"/>
      <c r="LJ16" s="376"/>
      <c r="LK16" s="376"/>
      <c r="LL16" s="376"/>
      <c r="LM16" s="376"/>
      <c r="LN16" s="376"/>
      <c r="LO16" s="376"/>
      <c r="LP16" s="376"/>
      <c r="LQ16" s="376"/>
      <c r="LR16" s="376"/>
      <c r="LS16" s="376"/>
      <c r="LT16" s="376"/>
      <c r="LU16" s="376"/>
      <c r="LV16" s="376"/>
      <c r="LW16" s="376"/>
      <c r="LX16" s="376"/>
      <c r="LY16" s="376"/>
      <c r="LZ16" s="376"/>
      <c r="MA16" s="376"/>
      <c r="MB16" s="376"/>
      <c r="MC16" s="376"/>
      <c r="MD16" s="376"/>
      <c r="ME16" s="376"/>
      <c r="MF16" s="376"/>
      <c r="MG16" s="376"/>
      <c r="MH16" s="376"/>
      <c r="MI16" s="376"/>
      <c r="MJ16" s="376"/>
      <c r="MK16" s="376"/>
      <c r="ML16" s="376"/>
      <c r="MM16" s="376"/>
      <c r="MN16" s="376"/>
      <c r="MO16" s="376"/>
      <c r="MP16" s="376"/>
      <c r="MQ16" s="376"/>
      <c r="MR16" s="376"/>
      <c r="MS16" s="376"/>
      <c r="MT16" s="376"/>
      <c r="MU16" s="376"/>
      <c r="MV16" s="376"/>
      <c r="MW16" s="376"/>
      <c r="MX16" s="376"/>
      <c r="MY16" s="376"/>
      <c r="MZ16" s="376"/>
      <c r="NA16" s="376"/>
      <c r="NB16" s="376"/>
      <c r="NC16" s="376"/>
      <c r="ND16" s="376"/>
      <c r="NE16" s="376"/>
      <c r="NF16" s="376"/>
      <c r="NG16" s="376"/>
      <c r="NH16" s="376"/>
      <c r="NI16" s="376"/>
      <c r="NJ16" s="376"/>
      <c r="NK16" s="376"/>
      <c r="NL16" s="376"/>
      <c r="NM16" s="376"/>
      <c r="NN16" s="376"/>
      <c r="NO16" s="376"/>
      <c r="NP16" s="376"/>
      <c r="NQ16" s="376"/>
      <c r="NR16" s="376"/>
      <c r="NS16" s="376"/>
      <c r="NT16" s="376"/>
      <c r="NU16" s="376"/>
      <c r="NV16" s="376"/>
      <c r="NW16" s="376"/>
      <c r="NX16" s="376"/>
      <c r="NY16" s="376"/>
      <c r="NZ16" s="376"/>
      <c r="OA16" s="376"/>
      <c r="OB16" s="376"/>
      <c r="OC16" s="376"/>
      <c r="OD16" s="376"/>
      <c r="OE16" s="376"/>
      <c r="OF16" s="376"/>
      <c r="OG16" s="376"/>
      <c r="OH16" s="376"/>
      <c r="OI16" s="376"/>
      <c r="OJ16" s="376"/>
      <c r="OK16" s="376"/>
      <c r="OL16" s="376"/>
      <c r="OM16" s="376"/>
      <c r="ON16" s="376"/>
      <c r="OO16" s="376"/>
      <c r="OP16" s="376"/>
      <c r="OQ16" s="376"/>
      <c r="OR16" s="376"/>
      <c r="OS16" s="376"/>
      <c r="OT16" s="376"/>
      <c r="OU16" s="376"/>
      <c r="OV16" s="376"/>
      <c r="OW16" s="376"/>
      <c r="OX16" s="376"/>
      <c r="OY16" s="376"/>
      <c r="OZ16" s="376"/>
      <c r="PA16" s="376"/>
      <c r="PB16" s="376"/>
      <c r="PC16" s="376"/>
      <c r="PD16" s="376"/>
      <c r="PE16" s="376"/>
      <c r="PF16" s="376"/>
      <c r="PG16" s="376"/>
      <c r="PH16" s="376"/>
      <c r="PI16" s="376"/>
      <c r="PJ16" s="376"/>
      <c r="PK16" s="376"/>
      <c r="PL16" s="376"/>
      <c r="PM16" s="376"/>
      <c r="PN16" s="376"/>
      <c r="PO16" s="376"/>
      <c r="PP16" s="376"/>
      <c r="PQ16" s="376"/>
      <c r="PR16" s="376"/>
      <c r="PS16" s="376"/>
      <c r="PT16" s="376"/>
      <c r="PU16" s="376"/>
      <c r="PV16" s="376"/>
      <c r="PW16" s="376"/>
      <c r="PX16" s="376"/>
      <c r="PY16" s="376"/>
      <c r="PZ16" s="376"/>
      <c r="QA16" s="376"/>
      <c r="QB16" s="376"/>
      <c r="QC16" s="376"/>
      <c r="QD16" s="376"/>
      <c r="QE16" s="376"/>
      <c r="QF16" s="376"/>
      <c r="QG16" s="376"/>
      <c r="QH16" s="376"/>
      <c r="QI16" s="376"/>
      <c r="QJ16" s="376"/>
      <c r="QK16" s="376"/>
      <c r="QL16" s="376"/>
      <c r="QM16" s="376"/>
      <c r="QN16" s="376"/>
      <c r="QO16" s="376"/>
      <c r="QP16" s="376"/>
      <c r="QQ16" s="376"/>
      <c r="QR16" s="376"/>
      <c r="QS16" s="376"/>
      <c r="QT16" s="376"/>
      <c r="QU16" s="376"/>
      <c r="QV16" s="376"/>
      <c r="QW16" s="376"/>
      <c r="QX16" s="376"/>
      <c r="QY16" s="376"/>
      <c r="QZ16" s="376"/>
      <c r="RA16" s="376"/>
      <c r="RB16" s="376"/>
      <c r="RC16" s="376"/>
      <c r="RD16" s="376"/>
      <c r="RE16" s="376"/>
      <c r="RF16" s="376"/>
      <c r="RG16" s="376"/>
      <c r="RH16" s="376"/>
      <c r="RI16" s="376"/>
      <c r="RJ16" s="376"/>
      <c r="RK16" s="376"/>
      <c r="RL16" s="376"/>
      <c r="RM16" s="376"/>
      <c r="RN16" s="376"/>
      <c r="RO16" s="376"/>
      <c r="RP16" s="376"/>
      <c r="RQ16" s="376"/>
      <c r="RR16" s="376"/>
      <c r="RS16" s="376"/>
      <c r="RT16" s="376"/>
      <c r="RU16" s="376"/>
      <c r="RV16" s="376"/>
      <c r="RW16" s="376"/>
      <c r="RX16" s="376"/>
      <c r="RY16" s="376"/>
      <c r="RZ16" s="376"/>
      <c r="SA16" s="376"/>
      <c r="SB16" s="376"/>
      <c r="SC16" s="376"/>
      <c r="SD16" s="376"/>
      <c r="SE16" s="376"/>
    </row>
    <row r="17" spans="1:499" s="377" customFormat="1" ht="30.75" thickBot="1">
      <c r="A17" s="624" t="s">
        <v>234</v>
      </c>
      <c r="B17" s="662" t="s">
        <v>293</v>
      </c>
      <c r="C17" s="486">
        <v>1291</v>
      </c>
      <c r="D17" s="487"/>
      <c r="E17" s="574">
        <v>18</v>
      </c>
      <c r="F17" s="454"/>
      <c r="G17" s="460">
        <f>C17-E17</f>
        <v>1273</v>
      </c>
      <c r="H17" s="486">
        <v>21</v>
      </c>
      <c r="I17" s="465"/>
      <c r="J17" s="574">
        <v>29.2</v>
      </c>
      <c r="K17" s="462"/>
      <c r="L17" s="460">
        <f>H17-J17</f>
        <v>-8.1999999999999993</v>
      </c>
      <c r="M17" s="486">
        <v>0</v>
      </c>
      <c r="N17" s="487"/>
      <c r="O17" s="574">
        <v>0</v>
      </c>
      <c r="P17" s="485"/>
      <c r="Q17" s="460">
        <f>M17-O17</f>
        <v>0</v>
      </c>
      <c r="R17" s="486">
        <f t="shared" si="3"/>
        <v>1312</v>
      </c>
      <c r="S17" s="550"/>
      <c r="T17" s="574">
        <f>J17+O17+E17</f>
        <v>47.2</v>
      </c>
      <c r="U17" s="389"/>
      <c r="V17" s="246">
        <f>R17-T17</f>
        <v>1264.8</v>
      </c>
      <c r="W17" s="540"/>
      <c r="X17" s="541"/>
      <c r="Y17" s="381"/>
      <c r="Z17" s="381"/>
      <c r="AA17" s="378"/>
      <c r="AB17" s="376"/>
      <c r="AC17" s="376"/>
      <c r="AD17" s="376"/>
      <c r="AE17" s="376"/>
      <c r="AF17" s="376"/>
      <c r="AG17" s="376"/>
      <c r="AH17" s="376"/>
      <c r="AI17" s="376"/>
      <c r="AJ17" s="376"/>
      <c r="AK17" s="376"/>
      <c r="AL17" s="376"/>
      <c r="AM17" s="376"/>
      <c r="AN17" s="376"/>
      <c r="AO17" s="376"/>
      <c r="AP17" s="376"/>
      <c r="AQ17" s="376"/>
      <c r="AR17" s="376"/>
      <c r="AS17" s="376"/>
      <c r="AT17" s="376"/>
      <c r="AU17" s="376"/>
      <c r="AV17" s="376"/>
      <c r="AW17" s="376"/>
      <c r="AX17" s="376"/>
      <c r="AY17" s="376"/>
      <c r="AZ17" s="376"/>
      <c r="BA17" s="376"/>
      <c r="BB17" s="376"/>
      <c r="BC17" s="376"/>
      <c r="BD17" s="376"/>
      <c r="BE17" s="376"/>
      <c r="BF17" s="376"/>
      <c r="BG17" s="376"/>
      <c r="BH17" s="376"/>
      <c r="BI17" s="376"/>
      <c r="BJ17" s="376"/>
      <c r="BK17" s="376"/>
      <c r="BL17" s="376"/>
      <c r="BM17" s="376"/>
      <c r="BN17" s="376"/>
      <c r="BO17" s="376"/>
      <c r="BP17" s="376"/>
      <c r="BQ17" s="376"/>
      <c r="BR17" s="376"/>
      <c r="BS17" s="376"/>
      <c r="BT17" s="376"/>
      <c r="BU17" s="376"/>
      <c r="BV17" s="376"/>
      <c r="BW17" s="376"/>
      <c r="BX17" s="376"/>
      <c r="BY17" s="376"/>
      <c r="BZ17" s="376"/>
      <c r="CA17" s="376"/>
      <c r="CB17" s="376"/>
      <c r="CC17" s="376"/>
      <c r="CD17" s="376"/>
      <c r="CE17" s="376"/>
      <c r="CF17" s="376"/>
      <c r="CG17" s="376"/>
      <c r="CH17" s="376"/>
      <c r="CI17" s="376"/>
      <c r="CJ17" s="376"/>
      <c r="CK17" s="376"/>
      <c r="CL17" s="376"/>
      <c r="CM17" s="376"/>
      <c r="CN17" s="376"/>
      <c r="CO17" s="376"/>
      <c r="CP17" s="376"/>
      <c r="CQ17" s="376"/>
      <c r="CR17" s="376"/>
      <c r="CS17" s="376"/>
      <c r="CT17" s="376"/>
      <c r="CU17" s="376"/>
      <c r="CV17" s="376"/>
      <c r="CW17" s="376"/>
      <c r="CX17" s="376"/>
      <c r="CY17" s="376"/>
      <c r="CZ17" s="376"/>
      <c r="DA17" s="376"/>
      <c r="DB17" s="376"/>
      <c r="DC17" s="376"/>
      <c r="DD17" s="376"/>
      <c r="DE17" s="376"/>
      <c r="DF17" s="376"/>
      <c r="DG17" s="376"/>
      <c r="DH17" s="376"/>
      <c r="DI17" s="376"/>
      <c r="DJ17" s="376"/>
      <c r="DK17" s="376"/>
      <c r="DL17" s="376"/>
      <c r="DM17" s="376"/>
      <c r="DN17" s="376"/>
      <c r="DO17" s="376"/>
      <c r="DP17" s="376"/>
      <c r="DQ17" s="376"/>
      <c r="DR17" s="376"/>
      <c r="DS17" s="376"/>
      <c r="DT17" s="376"/>
      <c r="DU17" s="376"/>
      <c r="DV17" s="376"/>
      <c r="DW17" s="376"/>
      <c r="DX17" s="376"/>
      <c r="DY17" s="376"/>
      <c r="DZ17" s="376"/>
      <c r="EA17" s="376"/>
      <c r="EB17" s="376"/>
      <c r="EC17" s="376"/>
      <c r="ED17" s="376"/>
      <c r="EE17" s="376"/>
      <c r="EF17" s="376"/>
      <c r="EG17" s="376"/>
      <c r="EH17" s="376"/>
      <c r="EI17" s="376"/>
      <c r="EJ17" s="376"/>
      <c r="EK17" s="376"/>
      <c r="EL17" s="376"/>
      <c r="EM17" s="376"/>
      <c r="EN17" s="376"/>
      <c r="EO17" s="376"/>
      <c r="EP17" s="376"/>
      <c r="EQ17" s="376"/>
      <c r="ER17" s="376"/>
      <c r="ES17" s="376"/>
      <c r="ET17" s="376"/>
      <c r="EU17" s="376"/>
      <c r="EV17" s="376"/>
      <c r="EW17" s="376"/>
      <c r="EX17" s="376"/>
      <c r="EY17" s="376"/>
      <c r="EZ17" s="376"/>
      <c r="FA17" s="376"/>
      <c r="FB17" s="376"/>
      <c r="FC17" s="376"/>
      <c r="FD17" s="376"/>
      <c r="FE17" s="376"/>
      <c r="FF17" s="376"/>
      <c r="FG17" s="376"/>
      <c r="FH17" s="376"/>
      <c r="FI17" s="376"/>
      <c r="FJ17" s="376"/>
      <c r="FK17" s="376"/>
      <c r="FL17" s="376"/>
      <c r="FM17" s="376"/>
      <c r="FN17" s="376"/>
      <c r="FO17" s="376"/>
      <c r="FP17" s="376"/>
      <c r="FQ17" s="376"/>
      <c r="FR17" s="376"/>
      <c r="FS17" s="376"/>
      <c r="FT17" s="376"/>
      <c r="FU17" s="376"/>
      <c r="FV17" s="376"/>
      <c r="FW17" s="376"/>
      <c r="FX17" s="376"/>
      <c r="FY17" s="376"/>
      <c r="FZ17" s="376"/>
      <c r="GA17" s="376"/>
      <c r="GB17" s="376"/>
      <c r="GC17" s="376"/>
      <c r="GD17" s="376"/>
      <c r="GE17" s="376"/>
      <c r="GF17" s="376"/>
      <c r="GG17" s="376"/>
      <c r="GH17" s="376"/>
      <c r="GI17" s="376"/>
      <c r="GJ17" s="376"/>
      <c r="GK17" s="376"/>
      <c r="GL17" s="376"/>
      <c r="GM17" s="376"/>
      <c r="GN17" s="376"/>
      <c r="GO17" s="376"/>
      <c r="GP17" s="376"/>
      <c r="GQ17" s="376"/>
      <c r="GR17" s="376"/>
      <c r="GS17" s="376"/>
      <c r="GT17" s="376"/>
      <c r="GU17" s="376"/>
      <c r="GV17" s="376"/>
      <c r="GW17" s="376"/>
      <c r="GX17" s="376"/>
      <c r="GY17" s="376"/>
      <c r="GZ17" s="376"/>
      <c r="HA17" s="376"/>
      <c r="HB17" s="376"/>
      <c r="HC17" s="376"/>
      <c r="HD17" s="376"/>
      <c r="HE17" s="376"/>
      <c r="HF17" s="376"/>
      <c r="HG17" s="376"/>
      <c r="HH17" s="376"/>
      <c r="HI17" s="376"/>
      <c r="HJ17" s="376"/>
      <c r="HK17" s="376"/>
      <c r="HL17" s="376"/>
      <c r="HM17" s="376"/>
      <c r="HN17" s="376"/>
      <c r="HO17" s="376"/>
      <c r="HP17" s="376"/>
      <c r="HQ17" s="376"/>
      <c r="HR17" s="376"/>
      <c r="HS17" s="376"/>
      <c r="HT17" s="376"/>
      <c r="HU17" s="376"/>
      <c r="HV17" s="376"/>
      <c r="HW17" s="376"/>
      <c r="HX17" s="376"/>
      <c r="HY17" s="376"/>
      <c r="HZ17" s="376"/>
      <c r="IA17" s="376"/>
      <c r="IB17" s="376"/>
      <c r="IC17" s="376"/>
      <c r="ID17" s="376"/>
      <c r="IE17" s="376"/>
      <c r="IF17" s="376"/>
      <c r="IG17" s="376"/>
      <c r="IH17" s="376"/>
      <c r="II17" s="376"/>
      <c r="IJ17" s="376"/>
      <c r="IK17" s="376"/>
      <c r="IL17" s="376"/>
      <c r="IM17" s="376"/>
      <c r="IN17" s="376"/>
      <c r="IO17" s="376"/>
      <c r="IP17" s="376"/>
      <c r="IQ17" s="376"/>
      <c r="IR17" s="376"/>
      <c r="IS17" s="376"/>
      <c r="IT17" s="376"/>
      <c r="IU17" s="376"/>
      <c r="IV17" s="376"/>
      <c r="IW17" s="376"/>
      <c r="IX17" s="376"/>
      <c r="IY17" s="376"/>
      <c r="IZ17" s="376"/>
      <c r="JA17" s="376"/>
      <c r="JB17" s="376"/>
      <c r="JC17" s="376"/>
      <c r="JD17" s="376"/>
      <c r="JE17" s="376"/>
      <c r="JF17" s="376"/>
      <c r="JG17" s="376"/>
      <c r="JH17" s="376"/>
      <c r="JI17" s="376"/>
      <c r="JJ17" s="376"/>
      <c r="JK17" s="376"/>
      <c r="JL17" s="376"/>
      <c r="JM17" s="376"/>
      <c r="JN17" s="376"/>
      <c r="JO17" s="376"/>
      <c r="JP17" s="376"/>
      <c r="JQ17" s="376"/>
      <c r="JR17" s="376"/>
      <c r="JS17" s="376"/>
      <c r="JT17" s="376"/>
      <c r="JU17" s="376"/>
      <c r="JV17" s="376"/>
      <c r="JW17" s="376"/>
      <c r="JX17" s="376"/>
      <c r="JY17" s="376"/>
      <c r="JZ17" s="376"/>
      <c r="KA17" s="376"/>
      <c r="KB17" s="376"/>
      <c r="KC17" s="376"/>
      <c r="KD17" s="376"/>
      <c r="KE17" s="376"/>
      <c r="KF17" s="376"/>
      <c r="KG17" s="376"/>
      <c r="KH17" s="376"/>
      <c r="KI17" s="376"/>
      <c r="KJ17" s="376"/>
      <c r="KK17" s="376"/>
      <c r="KL17" s="376"/>
      <c r="KM17" s="376"/>
      <c r="KN17" s="376"/>
      <c r="KO17" s="376"/>
      <c r="KP17" s="376"/>
      <c r="KQ17" s="376"/>
      <c r="KR17" s="376"/>
      <c r="KS17" s="376"/>
      <c r="KT17" s="376"/>
      <c r="KU17" s="376"/>
      <c r="KV17" s="376"/>
      <c r="KW17" s="376"/>
      <c r="KX17" s="376"/>
      <c r="KY17" s="376"/>
      <c r="KZ17" s="376"/>
      <c r="LA17" s="376"/>
      <c r="LB17" s="376"/>
      <c r="LC17" s="376"/>
      <c r="LD17" s="376"/>
      <c r="LE17" s="376"/>
      <c r="LF17" s="376"/>
      <c r="LG17" s="376"/>
      <c r="LH17" s="376"/>
      <c r="LI17" s="376"/>
      <c r="LJ17" s="376"/>
      <c r="LK17" s="376"/>
      <c r="LL17" s="376"/>
      <c r="LM17" s="376"/>
      <c r="LN17" s="376"/>
      <c r="LO17" s="376"/>
      <c r="LP17" s="376"/>
      <c r="LQ17" s="376"/>
      <c r="LR17" s="376"/>
      <c r="LS17" s="376"/>
      <c r="LT17" s="376"/>
      <c r="LU17" s="376"/>
      <c r="LV17" s="376"/>
      <c r="LW17" s="376"/>
      <c r="LX17" s="376"/>
      <c r="LY17" s="376"/>
      <c r="LZ17" s="376"/>
      <c r="MA17" s="376"/>
      <c r="MB17" s="376"/>
      <c r="MC17" s="376"/>
      <c r="MD17" s="376"/>
      <c r="ME17" s="376"/>
      <c r="MF17" s="376"/>
      <c r="MG17" s="376"/>
      <c r="MH17" s="376"/>
      <c r="MI17" s="376"/>
      <c r="MJ17" s="376"/>
      <c r="MK17" s="376"/>
      <c r="ML17" s="376"/>
      <c r="MM17" s="376"/>
      <c r="MN17" s="376"/>
      <c r="MO17" s="376"/>
      <c r="MP17" s="376"/>
      <c r="MQ17" s="376"/>
      <c r="MR17" s="376"/>
      <c r="MS17" s="376"/>
      <c r="MT17" s="376"/>
      <c r="MU17" s="376"/>
      <c r="MV17" s="376"/>
      <c r="MW17" s="376"/>
      <c r="MX17" s="376"/>
      <c r="MY17" s="376"/>
      <c r="MZ17" s="376"/>
      <c r="NA17" s="376"/>
      <c r="NB17" s="376"/>
      <c r="NC17" s="376"/>
      <c r="ND17" s="376"/>
      <c r="NE17" s="376"/>
      <c r="NF17" s="376"/>
      <c r="NG17" s="376"/>
      <c r="NH17" s="376"/>
      <c r="NI17" s="376"/>
      <c r="NJ17" s="376"/>
      <c r="NK17" s="376"/>
      <c r="NL17" s="376"/>
      <c r="NM17" s="376"/>
      <c r="NN17" s="376"/>
      <c r="NO17" s="376"/>
      <c r="NP17" s="376"/>
      <c r="NQ17" s="376"/>
      <c r="NR17" s="376"/>
      <c r="NS17" s="376"/>
      <c r="NT17" s="376"/>
      <c r="NU17" s="376"/>
      <c r="NV17" s="376"/>
      <c r="NW17" s="376"/>
      <c r="NX17" s="376"/>
      <c r="NY17" s="376"/>
      <c r="NZ17" s="376"/>
      <c r="OA17" s="376"/>
      <c r="OB17" s="376"/>
      <c r="OC17" s="376"/>
      <c r="OD17" s="376"/>
      <c r="OE17" s="376"/>
      <c r="OF17" s="376"/>
      <c r="OG17" s="376"/>
      <c r="OH17" s="376"/>
      <c r="OI17" s="376"/>
      <c r="OJ17" s="376"/>
      <c r="OK17" s="376"/>
      <c r="OL17" s="376"/>
      <c r="OM17" s="376"/>
      <c r="ON17" s="376"/>
      <c r="OO17" s="376"/>
      <c r="OP17" s="376"/>
      <c r="OQ17" s="376"/>
      <c r="OR17" s="376"/>
      <c r="OS17" s="376"/>
      <c r="OT17" s="376"/>
      <c r="OU17" s="376"/>
      <c r="OV17" s="376"/>
      <c r="OW17" s="376"/>
      <c r="OX17" s="376"/>
      <c r="OY17" s="376"/>
      <c r="OZ17" s="376"/>
      <c r="PA17" s="376"/>
      <c r="PB17" s="376"/>
      <c r="PC17" s="376"/>
      <c r="PD17" s="376"/>
      <c r="PE17" s="376"/>
      <c r="PF17" s="376"/>
      <c r="PG17" s="376"/>
      <c r="PH17" s="376"/>
      <c r="PI17" s="376"/>
      <c r="PJ17" s="376"/>
      <c r="PK17" s="376"/>
      <c r="PL17" s="376"/>
      <c r="PM17" s="376"/>
      <c r="PN17" s="376"/>
      <c r="PO17" s="376"/>
      <c r="PP17" s="376"/>
      <c r="PQ17" s="376"/>
      <c r="PR17" s="376"/>
      <c r="PS17" s="376"/>
      <c r="PT17" s="376"/>
      <c r="PU17" s="376"/>
      <c r="PV17" s="376"/>
      <c r="PW17" s="376"/>
      <c r="PX17" s="376"/>
      <c r="PY17" s="376"/>
      <c r="PZ17" s="376"/>
      <c r="QA17" s="376"/>
      <c r="QB17" s="376"/>
      <c r="QC17" s="376"/>
      <c r="QD17" s="376"/>
      <c r="QE17" s="376"/>
      <c r="QF17" s="376"/>
      <c r="QG17" s="376"/>
      <c r="QH17" s="376"/>
      <c r="QI17" s="376"/>
      <c r="QJ17" s="376"/>
      <c r="QK17" s="376"/>
      <c r="QL17" s="376"/>
      <c r="QM17" s="376"/>
      <c r="QN17" s="376"/>
      <c r="QO17" s="376"/>
      <c r="QP17" s="376"/>
      <c r="QQ17" s="376"/>
      <c r="QR17" s="376"/>
      <c r="QS17" s="376"/>
      <c r="QT17" s="376"/>
      <c r="QU17" s="376"/>
      <c r="QV17" s="376"/>
      <c r="QW17" s="376"/>
      <c r="QX17" s="376"/>
      <c r="QY17" s="376"/>
      <c r="QZ17" s="376"/>
      <c r="RA17" s="376"/>
      <c r="RB17" s="376"/>
      <c r="RC17" s="376"/>
      <c r="RD17" s="376"/>
      <c r="RE17" s="376"/>
      <c r="RF17" s="376"/>
      <c r="RG17" s="376"/>
      <c r="RH17" s="376"/>
      <c r="RI17" s="376"/>
      <c r="RJ17" s="376"/>
      <c r="RK17" s="376"/>
      <c r="RL17" s="376"/>
      <c r="RM17" s="376"/>
      <c r="RN17" s="376"/>
      <c r="RO17" s="376"/>
      <c r="RP17" s="376"/>
      <c r="RQ17" s="376"/>
      <c r="RR17" s="376"/>
      <c r="RS17" s="376"/>
      <c r="RT17" s="376"/>
      <c r="RU17" s="376"/>
      <c r="RV17" s="376"/>
      <c r="RW17" s="376"/>
      <c r="RX17" s="376"/>
      <c r="RY17" s="376"/>
      <c r="RZ17" s="376"/>
      <c r="SA17" s="376"/>
      <c r="SB17" s="376"/>
      <c r="SC17" s="376"/>
      <c r="SD17" s="376"/>
      <c r="SE17" s="376"/>
    </row>
    <row r="18" spans="1:499" s="376" customFormat="1" ht="32.25" customHeight="1">
      <c r="A18" s="623" t="s">
        <v>230</v>
      </c>
      <c r="B18" s="623" t="s">
        <v>294</v>
      </c>
      <c r="C18" s="22"/>
      <c r="D18" s="22"/>
      <c r="E18" s="22"/>
      <c r="F18" s="22"/>
      <c r="G18" s="22"/>
      <c r="H18" s="374"/>
      <c r="I18" s="374"/>
      <c r="J18" s="21"/>
      <c r="K18" s="21"/>
      <c r="L18" s="21"/>
      <c r="M18" s="374"/>
      <c r="N18" s="374"/>
      <c r="O18" s="374"/>
      <c r="P18" s="374"/>
      <c r="Q18" s="374"/>
      <c r="R18" s="374"/>
      <c r="S18" s="374"/>
      <c r="T18" s="374"/>
      <c r="U18" s="374"/>
      <c r="V18" s="374"/>
      <c r="W18" s="538"/>
      <c r="X18" s="542"/>
      <c r="Y18" s="378"/>
      <c r="Z18" s="378"/>
      <c r="AA18" s="378"/>
    </row>
    <row r="19" spans="1:499" s="374" customFormat="1" ht="30" customHeight="1">
      <c r="A19" s="623" t="s">
        <v>239</v>
      </c>
      <c r="B19" s="663" t="s">
        <v>297</v>
      </c>
      <c r="C19" s="22"/>
      <c r="D19" s="22"/>
      <c r="E19" s="22"/>
      <c r="F19" s="22"/>
      <c r="G19" s="22"/>
      <c r="J19" s="21"/>
      <c r="K19" s="21"/>
      <c r="L19" s="21"/>
      <c r="W19" s="537"/>
      <c r="X19" s="537"/>
    </row>
    <row r="20" spans="1:499" s="376" customFormat="1" ht="28.5" customHeight="1">
      <c r="A20" s="623" t="s">
        <v>298</v>
      </c>
      <c r="B20" s="623" t="s">
        <v>299</v>
      </c>
      <c r="C20" s="373"/>
      <c r="D20" s="373"/>
      <c r="E20" s="373"/>
      <c r="F20" s="373"/>
      <c r="G20" s="373"/>
      <c r="H20" s="374"/>
      <c r="I20" s="374"/>
      <c r="J20" s="21"/>
      <c r="K20" s="21"/>
      <c r="L20" s="21"/>
      <c r="M20" s="374"/>
      <c r="N20" s="374"/>
      <c r="O20" s="374"/>
      <c r="P20" s="374"/>
      <c r="Q20" s="374"/>
      <c r="R20" s="374"/>
      <c r="S20" s="374"/>
      <c r="T20" s="374"/>
      <c r="U20" s="374"/>
      <c r="V20" s="374"/>
      <c r="W20" s="538"/>
      <c r="X20" s="539"/>
      <c r="Y20" s="378"/>
      <c r="Z20" s="378"/>
      <c r="AA20" s="378"/>
    </row>
    <row r="21" spans="1:499" s="374" customFormat="1">
      <c r="A21" s="621"/>
      <c r="B21" s="621"/>
      <c r="C21" s="22"/>
      <c r="D21" s="22"/>
      <c r="E21" s="22"/>
      <c r="F21" s="22"/>
      <c r="G21" s="22"/>
      <c r="J21" s="21"/>
      <c r="K21" s="21"/>
      <c r="L21" s="21"/>
      <c r="W21" s="537"/>
      <c r="X21" s="537"/>
    </row>
    <row r="22" spans="1:499" s="374" customFormat="1">
      <c r="A22" s="22"/>
      <c r="B22" s="22"/>
      <c r="G22" s="23"/>
      <c r="J22" s="23"/>
      <c r="K22" s="23"/>
      <c r="L22" s="23"/>
      <c r="W22" s="537"/>
      <c r="X22" s="537"/>
    </row>
    <row r="23" spans="1:499" s="374" customFormat="1">
      <c r="G23" s="24"/>
      <c r="J23" s="24"/>
      <c r="K23" s="24"/>
      <c r="L23" s="24"/>
      <c r="W23" s="537"/>
      <c r="X23" s="537"/>
    </row>
    <row r="24" spans="1:499" s="374" customFormat="1">
      <c r="G24" s="23"/>
      <c r="J24" s="23"/>
      <c r="K24" s="23"/>
      <c r="L24" s="23"/>
      <c r="W24" s="537"/>
      <c r="X24" s="537"/>
    </row>
    <row r="25" spans="1:499" s="374" customFormat="1">
      <c r="W25" s="537"/>
      <c r="X25" s="537"/>
    </row>
    <row r="26" spans="1:499" s="374" customFormat="1">
      <c r="W26" s="537"/>
      <c r="X26" s="537"/>
    </row>
    <row r="27" spans="1:499" s="374" customFormat="1">
      <c r="W27" s="537"/>
      <c r="X27" s="537"/>
    </row>
    <row r="28" spans="1:499" s="374" customFormat="1">
      <c r="W28" s="537"/>
      <c r="X28" s="537"/>
    </row>
    <row r="29" spans="1:499" s="374" customFormat="1">
      <c r="W29" s="537"/>
      <c r="X29" s="537"/>
    </row>
    <row r="30" spans="1:499" s="374" customFormat="1">
      <c r="W30" s="537"/>
      <c r="X30" s="537"/>
    </row>
    <row r="31" spans="1:499" s="374" customFormat="1">
      <c r="W31" s="537"/>
      <c r="X31" s="537"/>
    </row>
    <row r="32" spans="1:499" s="374" customFormat="1">
      <c r="W32" s="537"/>
      <c r="X32" s="537"/>
    </row>
    <row r="33" spans="23:24" s="374" customFormat="1">
      <c r="W33" s="537"/>
      <c r="X33" s="537"/>
    </row>
    <row r="34" spans="23:24" s="374" customFormat="1">
      <c r="W34" s="537"/>
      <c r="X34" s="537"/>
    </row>
    <row r="35" spans="23:24" s="374" customFormat="1">
      <c r="W35" s="537"/>
      <c r="X35" s="537"/>
    </row>
    <row r="36" spans="23:24" s="374" customFormat="1">
      <c r="W36" s="537"/>
      <c r="X36" s="537"/>
    </row>
    <row r="37" spans="23:24" s="374" customFormat="1">
      <c r="W37" s="537"/>
      <c r="X37" s="537"/>
    </row>
    <row r="38" spans="23:24" s="374" customFormat="1">
      <c r="W38" s="537"/>
      <c r="X38" s="537"/>
    </row>
    <row r="39" spans="23:24" s="374" customFormat="1">
      <c r="W39" s="537"/>
      <c r="X39" s="537"/>
    </row>
    <row r="40" spans="23:24" s="374" customFormat="1">
      <c r="W40" s="537"/>
      <c r="X40" s="537"/>
    </row>
    <row r="41" spans="23:24" s="374" customFormat="1">
      <c r="W41" s="537"/>
      <c r="X41" s="537"/>
    </row>
    <row r="42" spans="23:24" s="374" customFormat="1">
      <c r="W42" s="537"/>
      <c r="X42" s="537"/>
    </row>
    <row r="43" spans="23:24" s="374" customFormat="1">
      <c r="W43" s="537"/>
      <c r="X43" s="537"/>
    </row>
    <row r="44" spans="23:24" s="374" customFormat="1">
      <c r="W44" s="537"/>
      <c r="X44" s="537"/>
    </row>
    <row r="45" spans="23:24" s="374" customFormat="1">
      <c r="W45" s="537"/>
      <c r="X45" s="537"/>
    </row>
    <row r="46" spans="23:24" s="374" customFormat="1">
      <c r="W46" s="537"/>
      <c r="X46" s="537"/>
    </row>
    <row r="47" spans="23:24" s="374" customFormat="1">
      <c r="W47" s="537"/>
      <c r="X47" s="537"/>
    </row>
    <row r="48" spans="23:24" s="374" customFormat="1">
      <c r="W48" s="537"/>
      <c r="X48" s="537"/>
    </row>
    <row r="49" spans="23:24" s="374" customFormat="1">
      <c r="W49" s="537"/>
      <c r="X49" s="537"/>
    </row>
    <row r="50" spans="23:24" s="374" customFormat="1">
      <c r="W50" s="537"/>
      <c r="X50" s="537"/>
    </row>
    <row r="51" spans="23:24" s="374" customFormat="1">
      <c r="W51" s="537"/>
      <c r="X51" s="537"/>
    </row>
    <row r="52" spans="23:24" s="374" customFormat="1">
      <c r="W52" s="537"/>
      <c r="X52" s="537"/>
    </row>
    <row r="53" spans="23:24" s="374" customFormat="1">
      <c r="W53" s="537"/>
      <c r="X53" s="537"/>
    </row>
    <row r="54" spans="23:24" s="374" customFormat="1">
      <c r="W54" s="537"/>
      <c r="X54" s="537"/>
    </row>
    <row r="55" spans="23:24" s="374" customFormat="1">
      <c r="W55" s="537"/>
      <c r="X55" s="537"/>
    </row>
    <row r="56" spans="23:24" s="374" customFormat="1">
      <c r="W56" s="537"/>
      <c r="X56" s="537"/>
    </row>
    <row r="57" spans="23:24" s="374" customFormat="1">
      <c r="W57" s="537"/>
      <c r="X57" s="537"/>
    </row>
    <row r="58" spans="23:24" s="374" customFormat="1">
      <c r="W58" s="537"/>
      <c r="X58" s="537"/>
    </row>
    <row r="59" spans="23:24" s="374" customFormat="1">
      <c r="W59" s="537"/>
      <c r="X59" s="537"/>
    </row>
    <row r="60" spans="23:24" s="374" customFormat="1">
      <c r="W60" s="537"/>
      <c r="X60" s="537"/>
    </row>
    <row r="61" spans="23:24" s="374" customFormat="1">
      <c r="W61" s="537"/>
      <c r="X61" s="537"/>
    </row>
    <row r="62" spans="23:24" s="374" customFormat="1">
      <c r="W62" s="537"/>
      <c r="X62" s="537"/>
    </row>
    <row r="63" spans="23:24" s="374" customFormat="1">
      <c r="W63" s="537"/>
      <c r="X63" s="537"/>
    </row>
    <row r="64" spans="23:24" s="374" customFormat="1">
      <c r="W64" s="537"/>
      <c r="X64" s="537"/>
    </row>
    <row r="65" spans="23:24" s="374" customFormat="1">
      <c r="W65" s="537"/>
      <c r="X65" s="537"/>
    </row>
    <row r="66" spans="23:24" s="374" customFormat="1">
      <c r="W66" s="537"/>
      <c r="X66" s="537"/>
    </row>
    <row r="67" spans="23:24" s="374" customFormat="1">
      <c r="W67" s="537"/>
      <c r="X67" s="537"/>
    </row>
    <row r="68" spans="23:24" s="374" customFormat="1">
      <c r="W68" s="537"/>
      <c r="X68" s="537"/>
    </row>
    <row r="69" spans="23:24" s="374" customFormat="1">
      <c r="W69" s="537"/>
      <c r="X69" s="537"/>
    </row>
    <row r="70" spans="23:24" s="374" customFormat="1">
      <c r="W70" s="537"/>
      <c r="X70" s="537"/>
    </row>
    <row r="71" spans="23:24" s="374" customFormat="1">
      <c r="W71" s="537"/>
      <c r="X71" s="537"/>
    </row>
    <row r="72" spans="23:24" s="374" customFormat="1">
      <c r="W72" s="537"/>
      <c r="X72" s="537"/>
    </row>
    <row r="73" spans="23:24" s="374" customFormat="1">
      <c r="W73" s="537"/>
      <c r="X73" s="537"/>
    </row>
    <row r="74" spans="23:24" s="374" customFormat="1">
      <c r="W74" s="537"/>
      <c r="X74" s="537"/>
    </row>
    <row r="75" spans="23:24" s="374" customFormat="1">
      <c r="W75" s="537"/>
      <c r="X75" s="537"/>
    </row>
    <row r="76" spans="23:24" s="374" customFormat="1">
      <c r="W76" s="537"/>
      <c r="X76" s="537"/>
    </row>
    <row r="77" spans="23:24" s="374" customFormat="1">
      <c r="W77" s="537"/>
      <c r="X77" s="537"/>
    </row>
    <row r="78" spans="23:24" s="374" customFormat="1">
      <c r="W78" s="537"/>
      <c r="X78" s="537"/>
    </row>
    <row r="79" spans="23:24" s="374" customFormat="1">
      <c r="W79" s="537"/>
      <c r="X79" s="537"/>
    </row>
    <row r="80" spans="23:24" s="374" customFormat="1">
      <c r="W80" s="537"/>
      <c r="X80" s="537"/>
    </row>
    <row r="81" spans="23:24" s="374" customFormat="1">
      <c r="W81" s="537"/>
      <c r="X81" s="537"/>
    </row>
    <row r="82" spans="23:24" s="374" customFormat="1">
      <c r="W82" s="537"/>
      <c r="X82" s="537"/>
    </row>
    <row r="83" spans="23:24" s="374" customFormat="1">
      <c r="W83" s="537"/>
      <c r="X83" s="537"/>
    </row>
    <row r="84" spans="23:24" s="374" customFormat="1">
      <c r="W84" s="537"/>
      <c r="X84" s="537"/>
    </row>
    <row r="85" spans="23:24" s="374" customFormat="1">
      <c r="W85" s="537"/>
      <c r="X85" s="537"/>
    </row>
    <row r="86" spans="23:24" s="374" customFormat="1">
      <c r="W86" s="537"/>
      <c r="X86" s="537"/>
    </row>
    <row r="87" spans="23:24" s="374" customFormat="1">
      <c r="W87" s="537"/>
      <c r="X87" s="537"/>
    </row>
    <row r="88" spans="23:24" s="374" customFormat="1">
      <c r="W88" s="537"/>
      <c r="X88" s="537"/>
    </row>
    <row r="89" spans="23:24" s="374" customFormat="1">
      <c r="W89" s="537"/>
      <c r="X89" s="537"/>
    </row>
    <row r="90" spans="23:24" s="374" customFormat="1">
      <c r="W90" s="537"/>
      <c r="X90" s="537"/>
    </row>
    <row r="91" spans="23:24" s="374" customFormat="1">
      <c r="W91" s="537"/>
      <c r="X91" s="537"/>
    </row>
    <row r="92" spans="23:24" s="374" customFormat="1">
      <c r="W92" s="537"/>
      <c r="X92" s="537"/>
    </row>
    <row r="93" spans="23:24" s="374" customFormat="1">
      <c r="W93" s="537"/>
      <c r="X93" s="537"/>
    </row>
    <row r="94" spans="23:24" s="374" customFormat="1">
      <c r="W94" s="537"/>
      <c r="X94" s="537"/>
    </row>
    <row r="95" spans="23:24" s="374" customFormat="1">
      <c r="W95" s="537"/>
      <c r="X95" s="537"/>
    </row>
    <row r="96" spans="23:24" s="374" customFormat="1">
      <c r="W96" s="537"/>
      <c r="X96" s="537"/>
    </row>
    <row r="97" spans="23:24" s="374" customFormat="1">
      <c r="W97" s="537"/>
      <c r="X97" s="537"/>
    </row>
    <row r="98" spans="23:24" s="374" customFormat="1">
      <c r="W98" s="537"/>
      <c r="X98" s="537"/>
    </row>
    <row r="99" spans="23:24" s="374" customFormat="1">
      <c r="W99" s="537"/>
      <c r="X99" s="537"/>
    </row>
    <row r="100" spans="23:24" s="374" customFormat="1">
      <c r="W100" s="537"/>
      <c r="X100" s="537"/>
    </row>
    <row r="101" spans="23:24" s="374" customFormat="1">
      <c r="W101" s="537"/>
      <c r="X101" s="537"/>
    </row>
    <row r="102" spans="23:24" s="374" customFormat="1">
      <c r="W102" s="537"/>
      <c r="X102" s="537"/>
    </row>
    <row r="103" spans="23:24" s="374" customFormat="1">
      <c r="W103" s="537"/>
      <c r="X103" s="537"/>
    </row>
    <row r="104" spans="23:24" s="374" customFormat="1">
      <c r="W104" s="537"/>
      <c r="X104" s="537"/>
    </row>
    <row r="105" spans="23:24" s="374" customFormat="1">
      <c r="W105" s="537"/>
      <c r="X105" s="537"/>
    </row>
    <row r="106" spans="23:24" s="374" customFormat="1">
      <c r="W106" s="537"/>
      <c r="X106" s="537"/>
    </row>
    <row r="107" spans="23:24" s="374" customFormat="1">
      <c r="W107" s="537"/>
      <c r="X107" s="537"/>
    </row>
    <row r="108" spans="23:24" s="374" customFormat="1">
      <c r="W108" s="537"/>
      <c r="X108" s="537"/>
    </row>
    <row r="109" spans="23:24" s="374" customFormat="1">
      <c r="W109" s="537"/>
      <c r="X109" s="537"/>
    </row>
    <row r="110" spans="23:24" s="374" customFormat="1">
      <c r="W110" s="537"/>
      <c r="X110" s="537"/>
    </row>
    <row r="111" spans="23:24" s="374" customFormat="1">
      <c r="W111" s="537"/>
      <c r="X111" s="537"/>
    </row>
    <row r="112" spans="23:24" s="374" customFormat="1">
      <c r="W112" s="537"/>
      <c r="X112" s="537"/>
    </row>
    <row r="113" spans="23:24" s="374" customFormat="1">
      <c r="W113" s="537"/>
      <c r="X113" s="537"/>
    </row>
    <row r="114" spans="23:24" s="374" customFormat="1">
      <c r="W114" s="537"/>
      <c r="X114" s="537"/>
    </row>
    <row r="115" spans="23:24" s="374" customFormat="1">
      <c r="W115" s="537"/>
      <c r="X115" s="537"/>
    </row>
    <row r="116" spans="23:24" s="374" customFormat="1">
      <c r="W116" s="537"/>
      <c r="X116" s="537"/>
    </row>
    <row r="117" spans="23:24" s="374" customFormat="1">
      <c r="W117" s="537"/>
      <c r="X117" s="537"/>
    </row>
    <row r="118" spans="23:24" s="374" customFormat="1">
      <c r="W118" s="537"/>
      <c r="X118" s="537"/>
    </row>
    <row r="119" spans="23:24" s="374" customFormat="1">
      <c r="W119" s="537"/>
      <c r="X119" s="537"/>
    </row>
    <row r="120" spans="23:24" s="374" customFormat="1">
      <c r="W120" s="537"/>
      <c r="X120" s="537"/>
    </row>
    <row r="121" spans="23:24" s="374" customFormat="1">
      <c r="W121" s="537"/>
      <c r="X121" s="537"/>
    </row>
    <row r="122" spans="23:24" s="374" customFormat="1">
      <c r="W122" s="537"/>
      <c r="X122" s="537"/>
    </row>
    <row r="123" spans="23:24" s="374" customFormat="1">
      <c r="W123" s="537"/>
      <c r="X123" s="537"/>
    </row>
    <row r="124" spans="23:24" s="374" customFormat="1">
      <c r="W124" s="537"/>
      <c r="X124" s="537"/>
    </row>
    <row r="125" spans="23:24" s="374" customFormat="1">
      <c r="W125" s="537"/>
      <c r="X125" s="537"/>
    </row>
    <row r="126" spans="23:24" s="374" customFormat="1">
      <c r="W126" s="537"/>
      <c r="X126" s="537"/>
    </row>
    <row r="127" spans="23:24" s="374" customFormat="1">
      <c r="W127" s="537"/>
      <c r="X127" s="537"/>
    </row>
    <row r="128" spans="23:24" s="374" customFormat="1">
      <c r="W128" s="537"/>
      <c r="X128" s="537"/>
    </row>
    <row r="129" spans="23:24" s="374" customFormat="1">
      <c r="W129" s="537"/>
      <c r="X129" s="537"/>
    </row>
    <row r="130" spans="23:24" s="374" customFormat="1">
      <c r="W130" s="537"/>
      <c r="X130" s="537"/>
    </row>
    <row r="131" spans="23:24" s="374" customFormat="1">
      <c r="W131" s="537"/>
      <c r="X131" s="537"/>
    </row>
    <row r="132" spans="23:24" s="374" customFormat="1">
      <c r="W132" s="537"/>
      <c r="X132" s="537"/>
    </row>
    <row r="133" spans="23:24" s="374" customFormat="1">
      <c r="W133" s="537"/>
      <c r="X133" s="537"/>
    </row>
    <row r="134" spans="23:24" s="374" customFormat="1">
      <c r="W134" s="537"/>
      <c r="X134" s="537"/>
    </row>
    <row r="135" spans="23:24" s="374" customFormat="1">
      <c r="W135" s="537"/>
      <c r="X135" s="537"/>
    </row>
    <row r="136" spans="23:24" s="374" customFormat="1">
      <c r="W136" s="537"/>
      <c r="X136" s="537"/>
    </row>
    <row r="137" spans="23:24" s="374" customFormat="1">
      <c r="W137" s="537"/>
      <c r="X137" s="537"/>
    </row>
    <row r="138" spans="23:24" s="374" customFormat="1">
      <c r="W138" s="537"/>
      <c r="X138" s="537"/>
    </row>
    <row r="139" spans="23:24" s="374" customFormat="1">
      <c r="W139" s="537"/>
      <c r="X139" s="537"/>
    </row>
    <row r="140" spans="23:24" s="374" customFormat="1">
      <c r="W140" s="537"/>
      <c r="X140" s="537"/>
    </row>
    <row r="141" spans="23:24" s="374" customFormat="1">
      <c r="W141" s="537"/>
      <c r="X141" s="537"/>
    </row>
    <row r="142" spans="23:24" s="374" customFormat="1">
      <c r="W142" s="537"/>
      <c r="X142" s="537"/>
    </row>
    <row r="143" spans="23:24" s="374" customFormat="1">
      <c r="W143" s="537"/>
      <c r="X143" s="537"/>
    </row>
    <row r="144" spans="23:24" s="374" customFormat="1">
      <c r="W144" s="537"/>
      <c r="X144" s="537"/>
    </row>
    <row r="145" spans="23:24" s="374" customFormat="1">
      <c r="W145" s="537"/>
      <c r="X145" s="537"/>
    </row>
    <row r="146" spans="23:24" s="374" customFormat="1">
      <c r="W146" s="537"/>
      <c r="X146" s="537"/>
    </row>
    <row r="147" spans="23:24" s="374" customFormat="1">
      <c r="W147" s="537"/>
      <c r="X147" s="537"/>
    </row>
    <row r="148" spans="23:24" s="374" customFormat="1">
      <c r="W148" s="537"/>
      <c r="X148" s="537"/>
    </row>
    <row r="149" spans="23:24" s="374" customFormat="1">
      <c r="W149" s="537"/>
      <c r="X149" s="537"/>
    </row>
    <row r="150" spans="23:24" s="374" customFormat="1">
      <c r="W150" s="537"/>
      <c r="X150" s="537"/>
    </row>
    <row r="151" spans="23:24" s="374" customFormat="1">
      <c r="W151" s="537"/>
      <c r="X151" s="537"/>
    </row>
    <row r="152" spans="23:24" s="374" customFormat="1">
      <c r="W152" s="537"/>
      <c r="X152" s="537"/>
    </row>
    <row r="153" spans="23:24" s="374" customFormat="1">
      <c r="W153" s="537"/>
      <c r="X153" s="537"/>
    </row>
    <row r="154" spans="23:24" s="374" customFormat="1">
      <c r="W154" s="537"/>
      <c r="X154" s="537"/>
    </row>
    <row r="155" spans="23:24" s="374" customFormat="1">
      <c r="W155" s="537"/>
      <c r="X155" s="537"/>
    </row>
    <row r="156" spans="23:24" s="374" customFormat="1">
      <c r="W156" s="537"/>
      <c r="X156" s="537"/>
    </row>
    <row r="157" spans="23:24" s="374" customFormat="1">
      <c r="W157" s="537"/>
      <c r="X157" s="537"/>
    </row>
    <row r="158" spans="23:24" s="374" customFormat="1">
      <c r="W158" s="537"/>
      <c r="X158" s="537"/>
    </row>
    <row r="159" spans="23:24" s="374" customFormat="1">
      <c r="W159" s="537"/>
      <c r="X159" s="537"/>
    </row>
    <row r="160" spans="23:24" s="374" customFormat="1">
      <c r="W160" s="537"/>
      <c r="X160" s="537"/>
    </row>
    <row r="161" spans="23:24" s="374" customFormat="1">
      <c r="W161" s="537"/>
      <c r="X161" s="537"/>
    </row>
    <row r="162" spans="23:24" s="374" customFormat="1">
      <c r="W162" s="537"/>
      <c r="X162" s="537"/>
    </row>
    <row r="163" spans="23:24" s="374" customFormat="1">
      <c r="W163" s="537"/>
      <c r="X163" s="537"/>
    </row>
    <row r="164" spans="23:24" s="374" customFormat="1">
      <c r="W164" s="537"/>
      <c r="X164" s="537"/>
    </row>
    <row r="165" spans="23:24" s="374" customFormat="1">
      <c r="W165" s="537"/>
      <c r="X165" s="537"/>
    </row>
    <row r="166" spans="23:24" s="374" customFormat="1">
      <c r="W166" s="537"/>
      <c r="X166" s="537"/>
    </row>
    <row r="167" spans="23:24" s="374" customFormat="1">
      <c r="W167" s="537"/>
      <c r="X167" s="537"/>
    </row>
    <row r="168" spans="23:24" s="374" customFormat="1">
      <c r="W168" s="537"/>
      <c r="X168" s="537"/>
    </row>
    <row r="169" spans="23:24" s="374" customFormat="1">
      <c r="W169" s="537"/>
      <c r="X169" s="537"/>
    </row>
    <row r="170" spans="23:24" s="374" customFormat="1">
      <c r="W170" s="537"/>
      <c r="X170" s="537"/>
    </row>
    <row r="171" spans="23:24" s="374" customFormat="1">
      <c r="W171" s="537"/>
      <c r="X171" s="537"/>
    </row>
    <row r="172" spans="23:24" s="374" customFormat="1">
      <c r="W172" s="537"/>
      <c r="X172" s="537"/>
    </row>
    <row r="173" spans="23:24" s="374" customFormat="1">
      <c r="W173" s="537"/>
      <c r="X173" s="537"/>
    </row>
    <row r="174" spans="23:24" s="374" customFormat="1">
      <c r="W174" s="537"/>
      <c r="X174" s="537"/>
    </row>
    <row r="175" spans="23:24" s="374" customFormat="1">
      <c r="W175" s="537"/>
      <c r="X175" s="537"/>
    </row>
    <row r="176" spans="23:24" s="374" customFormat="1">
      <c r="W176" s="537"/>
      <c r="X176" s="537"/>
    </row>
    <row r="177" spans="23:24" s="374" customFormat="1">
      <c r="W177" s="537"/>
      <c r="X177" s="537"/>
    </row>
    <row r="178" spans="23:24" s="374" customFormat="1">
      <c r="W178" s="537"/>
      <c r="X178" s="537"/>
    </row>
    <row r="179" spans="23:24" s="374" customFormat="1">
      <c r="W179" s="537"/>
      <c r="X179" s="537"/>
    </row>
    <row r="180" spans="23:24" s="374" customFormat="1">
      <c r="W180" s="537"/>
      <c r="X180" s="537"/>
    </row>
    <row r="181" spans="23:24" s="374" customFormat="1">
      <c r="W181" s="537"/>
      <c r="X181" s="537"/>
    </row>
    <row r="182" spans="23:24" s="374" customFormat="1">
      <c r="W182" s="537"/>
      <c r="X182" s="537"/>
    </row>
    <row r="183" spans="23:24" s="374" customFormat="1">
      <c r="W183" s="537"/>
      <c r="X183" s="537"/>
    </row>
    <row r="184" spans="23:24" s="374" customFormat="1">
      <c r="W184" s="537"/>
      <c r="X184" s="537"/>
    </row>
    <row r="185" spans="23:24" s="374" customFormat="1">
      <c r="W185" s="537"/>
      <c r="X185" s="537"/>
    </row>
    <row r="186" spans="23:24" s="374" customFormat="1">
      <c r="W186" s="537"/>
      <c r="X186" s="537"/>
    </row>
    <row r="187" spans="23:24" s="374" customFormat="1">
      <c r="W187" s="537"/>
      <c r="X187" s="537"/>
    </row>
    <row r="188" spans="23:24" s="374" customFormat="1">
      <c r="W188" s="537"/>
      <c r="X188" s="537"/>
    </row>
    <row r="189" spans="23:24" s="374" customFormat="1">
      <c r="W189" s="537"/>
      <c r="X189" s="537"/>
    </row>
    <row r="190" spans="23:24" s="374" customFormat="1">
      <c r="W190" s="537"/>
      <c r="X190" s="537"/>
    </row>
    <row r="191" spans="23:24" s="374" customFormat="1">
      <c r="W191" s="537"/>
      <c r="X191" s="537"/>
    </row>
    <row r="192" spans="23:24" s="374" customFormat="1">
      <c r="W192" s="537"/>
      <c r="X192" s="537"/>
    </row>
    <row r="193" spans="23:24" s="374" customFormat="1">
      <c r="W193" s="537"/>
      <c r="X193" s="537"/>
    </row>
    <row r="194" spans="23:24" s="374" customFormat="1">
      <c r="W194" s="537"/>
      <c r="X194" s="537"/>
    </row>
    <row r="195" spans="23:24" s="374" customFormat="1">
      <c r="W195" s="537"/>
      <c r="X195" s="537"/>
    </row>
    <row r="196" spans="23:24" s="374" customFormat="1">
      <c r="W196" s="537"/>
      <c r="X196" s="537"/>
    </row>
    <row r="197" spans="23:24" s="374" customFormat="1">
      <c r="W197" s="537"/>
      <c r="X197" s="537"/>
    </row>
    <row r="198" spans="23:24" s="374" customFormat="1">
      <c r="W198" s="537"/>
      <c r="X198" s="537"/>
    </row>
    <row r="199" spans="23:24" s="374" customFormat="1">
      <c r="W199" s="537"/>
      <c r="X199" s="537"/>
    </row>
    <row r="200" spans="23:24" s="374" customFormat="1">
      <c r="W200" s="537"/>
      <c r="X200" s="537"/>
    </row>
    <row r="201" spans="23:24" s="374" customFormat="1">
      <c r="W201" s="537"/>
      <c r="X201" s="537"/>
    </row>
    <row r="202" spans="23:24" s="374" customFormat="1">
      <c r="W202" s="537"/>
      <c r="X202" s="537"/>
    </row>
    <row r="203" spans="23:24" s="374" customFormat="1">
      <c r="W203" s="537"/>
      <c r="X203" s="537"/>
    </row>
    <row r="204" spans="23:24" s="374" customFormat="1">
      <c r="W204" s="537"/>
      <c r="X204" s="537"/>
    </row>
    <row r="205" spans="23:24" s="374" customFormat="1">
      <c r="W205" s="537"/>
      <c r="X205" s="537"/>
    </row>
    <row r="206" spans="23:24" s="374" customFormat="1">
      <c r="W206" s="537"/>
      <c r="X206" s="537"/>
    </row>
    <row r="207" spans="23:24" s="374" customFormat="1">
      <c r="W207" s="537"/>
      <c r="X207" s="537"/>
    </row>
    <row r="208" spans="23:24" s="374" customFormat="1">
      <c r="W208" s="537"/>
      <c r="X208" s="537"/>
    </row>
    <row r="209" spans="23:24" s="374" customFormat="1">
      <c r="W209" s="537"/>
      <c r="X209" s="537"/>
    </row>
    <row r="210" spans="23:24" s="374" customFormat="1">
      <c r="W210" s="537"/>
      <c r="X210" s="537"/>
    </row>
    <row r="211" spans="23:24" s="374" customFormat="1">
      <c r="W211" s="537"/>
      <c r="X211" s="537"/>
    </row>
    <row r="212" spans="23:24" s="374" customFormat="1">
      <c r="W212" s="537"/>
      <c r="X212" s="537"/>
    </row>
    <row r="213" spans="23:24" s="374" customFormat="1">
      <c r="W213" s="537"/>
      <c r="X213" s="537"/>
    </row>
    <row r="214" spans="23:24" s="374" customFormat="1">
      <c r="W214" s="537"/>
      <c r="X214" s="537"/>
    </row>
    <row r="215" spans="23:24" s="374" customFormat="1">
      <c r="W215" s="537"/>
      <c r="X215" s="537"/>
    </row>
    <row r="216" spans="23:24" s="374" customFormat="1">
      <c r="W216" s="537"/>
      <c r="X216" s="537"/>
    </row>
    <row r="217" spans="23:24" s="374" customFormat="1">
      <c r="W217" s="537"/>
      <c r="X217" s="537"/>
    </row>
    <row r="218" spans="23:24" s="374" customFormat="1">
      <c r="W218" s="537"/>
      <c r="X218" s="537"/>
    </row>
    <row r="219" spans="23:24" s="374" customFormat="1">
      <c r="W219" s="537"/>
      <c r="X219" s="537"/>
    </row>
    <row r="220" spans="23:24" s="374" customFormat="1">
      <c r="W220" s="537"/>
      <c r="X220" s="537"/>
    </row>
    <row r="221" spans="23:24" s="374" customFormat="1">
      <c r="W221" s="537"/>
      <c r="X221" s="537"/>
    </row>
    <row r="222" spans="23:24" s="374" customFormat="1">
      <c r="W222" s="537"/>
      <c r="X222" s="537"/>
    </row>
    <row r="223" spans="23:24" s="374" customFormat="1">
      <c r="W223" s="537"/>
      <c r="X223" s="537"/>
    </row>
    <row r="224" spans="23:24" s="374" customFormat="1">
      <c r="W224" s="537"/>
      <c r="X224" s="537"/>
    </row>
    <row r="225" spans="23:24" s="374" customFormat="1">
      <c r="W225" s="537"/>
      <c r="X225" s="537"/>
    </row>
    <row r="226" spans="23:24" s="374" customFormat="1">
      <c r="W226" s="537"/>
      <c r="X226" s="537"/>
    </row>
    <row r="227" spans="23:24" s="374" customFormat="1">
      <c r="W227" s="537"/>
      <c r="X227" s="537"/>
    </row>
    <row r="228" spans="23:24" s="374" customFormat="1">
      <c r="W228" s="537"/>
      <c r="X228" s="537"/>
    </row>
    <row r="229" spans="23:24" s="374" customFormat="1">
      <c r="W229" s="537"/>
      <c r="X229" s="537"/>
    </row>
    <row r="230" spans="23:24" s="374" customFormat="1">
      <c r="W230" s="537"/>
      <c r="X230" s="537"/>
    </row>
    <row r="231" spans="23:24" s="374" customFormat="1">
      <c r="W231" s="537"/>
      <c r="X231" s="537"/>
    </row>
    <row r="232" spans="23:24" s="374" customFormat="1">
      <c r="W232" s="537"/>
      <c r="X232" s="537"/>
    </row>
    <row r="233" spans="23:24" s="374" customFormat="1">
      <c r="W233" s="537"/>
      <c r="X233" s="537"/>
    </row>
    <row r="234" spans="23:24" s="374" customFormat="1">
      <c r="W234" s="537"/>
      <c r="X234" s="537"/>
    </row>
    <row r="235" spans="23:24" s="374" customFormat="1">
      <c r="W235" s="537"/>
      <c r="X235" s="537"/>
    </row>
    <row r="236" spans="23:24" s="374" customFormat="1">
      <c r="W236" s="537"/>
      <c r="X236" s="537"/>
    </row>
    <row r="237" spans="23:24" s="374" customFormat="1">
      <c r="W237" s="537"/>
      <c r="X237" s="537"/>
    </row>
    <row r="238" spans="23:24" s="374" customFormat="1">
      <c r="W238" s="537"/>
      <c r="X238" s="537"/>
    </row>
    <row r="239" spans="23:24" s="374" customFormat="1">
      <c r="W239" s="537"/>
      <c r="X239" s="537"/>
    </row>
    <row r="240" spans="23:24" s="374" customFormat="1">
      <c r="W240" s="537"/>
      <c r="X240" s="537"/>
    </row>
    <row r="241" spans="23:24" s="374" customFormat="1">
      <c r="W241" s="537"/>
      <c r="X241" s="537"/>
    </row>
    <row r="242" spans="23:24" s="374" customFormat="1">
      <c r="W242" s="537"/>
      <c r="X242" s="537"/>
    </row>
    <row r="243" spans="23:24" s="374" customFormat="1">
      <c r="W243" s="537"/>
      <c r="X243" s="537"/>
    </row>
    <row r="244" spans="23:24" s="374" customFormat="1">
      <c r="W244" s="537"/>
      <c r="X244" s="537"/>
    </row>
    <row r="245" spans="23:24" s="374" customFormat="1">
      <c r="W245" s="537"/>
      <c r="X245" s="537"/>
    </row>
    <row r="246" spans="23:24" s="374" customFormat="1">
      <c r="W246" s="537"/>
      <c r="X246" s="537"/>
    </row>
    <row r="247" spans="23:24" s="374" customFormat="1">
      <c r="W247" s="537"/>
      <c r="X247" s="537"/>
    </row>
    <row r="248" spans="23:24" s="374" customFormat="1">
      <c r="W248" s="537"/>
      <c r="X248" s="537"/>
    </row>
    <row r="249" spans="23:24" s="374" customFormat="1">
      <c r="W249" s="537"/>
      <c r="X249" s="537"/>
    </row>
    <row r="250" spans="23:24" s="374" customFormat="1">
      <c r="W250" s="537"/>
      <c r="X250" s="537"/>
    </row>
    <row r="251" spans="23:24" s="374" customFormat="1">
      <c r="W251" s="537"/>
      <c r="X251" s="537"/>
    </row>
    <row r="252" spans="23:24" s="374" customFormat="1">
      <c r="W252" s="537"/>
      <c r="X252" s="537"/>
    </row>
    <row r="253" spans="23:24" s="374" customFormat="1">
      <c r="W253" s="537"/>
      <c r="X253" s="537"/>
    </row>
    <row r="254" spans="23:24" s="374" customFormat="1">
      <c r="W254" s="537"/>
      <c r="X254" s="537"/>
    </row>
    <row r="255" spans="23:24" s="374" customFormat="1">
      <c r="W255" s="537"/>
      <c r="X255" s="537"/>
    </row>
    <row r="256" spans="23:24" s="374" customFormat="1">
      <c r="W256" s="537"/>
      <c r="X256" s="537"/>
    </row>
    <row r="257" spans="23:24" s="374" customFormat="1">
      <c r="W257" s="537"/>
      <c r="X257" s="537"/>
    </row>
    <row r="258" spans="23:24" s="374" customFormat="1">
      <c r="W258" s="537"/>
      <c r="X258" s="537"/>
    </row>
    <row r="259" spans="23:24" s="374" customFormat="1">
      <c r="W259" s="537"/>
      <c r="X259" s="537"/>
    </row>
    <row r="260" spans="23:24" s="374" customFormat="1">
      <c r="W260" s="537"/>
      <c r="X260" s="537"/>
    </row>
    <row r="261" spans="23:24" s="374" customFormat="1">
      <c r="W261" s="537"/>
      <c r="X261" s="537"/>
    </row>
    <row r="262" spans="23:24" s="374" customFormat="1">
      <c r="W262" s="537"/>
      <c r="X262" s="537"/>
    </row>
    <row r="263" spans="23:24" s="374" customFormat="1">
      <c r="W263" s="537"/>
      <c r="X263" s="537"/>
    </row>
    <row r="264" spans="23:24" s="374" customFormat="1">
      <c r="W264" s="537"/>
      <c r="X264" s="537"/>
    </row>
    <row r="265" spans="23:24" s="374" customFormat="1">
      <c r="W265" s="537"/>
      <c r="X265" s="537"/>
    </row>
    <row r="266" spans="23:24" s="374" customFormat="1">
      <c r="W266" s="537"/>
      <c r="X266" s="537"/>
    </row>
    <row r="267" spans="23:24" s="374" customFormat="1">
      <c r="W267" s="537"/>
      <c r="X267" s="537"/>
    </row>
    <row r="268" spans="23:24" s="374" customFormat="1">
      <c r="W268" s="537"/>
      <c r="X268" s="537"/>
    </row>
    <row r="269" spans="23:24" s="374" customFormat="1">
      <c r="W269" s="537"/>
      <c r="X269" s="537"/>
    </row>
    <row r="270" spans="23:24" s="374" customFormat="1">
      <c r="W270" s="537"/>
      <c r="X270" s="537"/>
    </row>
    <row r="271" spans="23:24" s="374" customFormat="1">
      <c r="W271" s="537"/>
      <c r="X271" s="537"/>
    </row>
    <row r="272" spans="23:24" s="374" customFormat="1">
      <c r="W272" s="537"/>
      <c r="X272" s="537"/>
    </row>
    <row r="273" spans="23:24" s="374" customFormat="1">
      <c r="W273" s="537"/>
      <c r="X273" s="537"/>
    </row>
    <row r="274" spans="23:24" s="374" customFormat="1">
      <c r="W274" s="537"/>
      <c r="X274" s="537"/>
    </row>
    <row r="275" spans="23:24" s="374" customFormat="1">
      <c r="W275" s="537"/>
      <c r="X275" s="537"/>
    </row>
    <row r="276" spans="23:24" s="374" customFormat="1">
      <c r="W276" s="537"/>
      <c r="X276" s="537"/>
    </row>
    <row r="277" spans="23:24" s="374" customFormat="1">
      <c r="W277" s="537"/>
      <c r="X277" s="537"/>
    </row>
    <row r="278" spans="23:24" s="374" customFormat="1">
      <c r="W278" s="537"/>
      <c r="X278" s="537"/>
    </row>
    <row r="279" spans="23:24" s="374" customFormat="1">
      <c r="W279" s="537"/>
      <c r="X279" s="537"/>
    </row>
    <row r="280" spans="23:24" s="374" customFormat="1">
      <c r="W280" s="537"/>
      <c r="X280" s="537"/>
    </row>
    <row r="281" spans="23:24" s="374" customFormat="1">
      <c r="W281" s="537"/>
      <c r="X281" s="537"/>
    </row>
    <row r="282" spans="23:24" s="374" customFormat="1">
      <c r="W282" s="537"/>
      <c r="X282" s="537"/>
    </row>
    <row r="283" spans="23:24" s="374" customFormat="1">
      <c r="W283" s="537"/>
      <c r="X283" s="537"/>
    </row>
    <row r="284" spans="23:24" s="374" customFormat="1">
      <c r="W284" s="537"/>
      <c r="X284" s="537"/>
    </row>
    <row r="285" spans="23:24" s="374" customFormat="1">
      <c r="W285" s="537"/>
      <c r="X285" s="537"/>
    </row>
    <row r="286" spans="23:24" s="374" customFormat="1">
      <c r="W286" s="537"/>
      <c r="X286" s="537"/>
    </row>
    <row r="287" spans="23:24" s="374" customFormat="1">
      <c r="W287" s="537"/>
      <c r="X287" s="537"/>
    </row>
    <row r="288" spans="23:24" s="374" customFormat="1">
      <c r="W288" s="537"/>
      <c r="X288" s="537"/>
    </row>
    <row r="289" spans="23:24" s="374" customFormat="1">
      <c r="W289" s="537"/>
      <c r="X289" s="537"/>
    </row>
    <row r="290" spans="23:24" s="374" customFormat="1">
      <c r="W290" s="537"/>
      <c r="X290" s="537"/>
    </row>
    <row r="291" spans="23:24" s="374" customFormat="1">
      <c r="W291" s="537"/>
      <c r="X291" s="537"/>
    </row>
    <row r="292" spans="23:24" s="374" customFormat="1">
      <c r="W292" s="537"/>
      <c r="X292" s="537"/>
    </row>
    <row r="293" spans="23:24" s="374" customFormat="1">
      <c r="W293" s="537"/>
      <c r="X293" s="537"/>
    </row>
    <row r="294" spans="23:24" s="374" customFormat="1">
      <c r="W294" s="537"/>
      <c r="X294" s="537"/>
    </row>
    <row r="295" spans="23:24" s="374" customFormat="1">
      <c r="W295" s="537"/>
      <c r="X295" s="537"/>
    </row>
    <row r="296" spans="23:24" s="374" customFormat="1">
      <c r="W296" s="537"/>
      <c r="X296" s="537"/>
    </row>
    <row r="297" spans="23:24" s="374" customFormat="1">
      <c r="W297" s="537"/>
      <c r="X297" s="537"/>
    </row>
    <row r="298" spans="23:24" s="374" customFormat="1">
      <c r="W298" s="537"/>
      <c r="X298" s="537"/>
    </row>
    <row r="299" spans="23:24" s="374" customFormat="1">
      <c r="W299" s="537"/>
      <c r="X299" s="537"/>
    </row>
    <row r="300" spans="23:24" s="374" customFormat="1">
      <c r="W300" s="537"/>
      <c r="X300" s="537"/>
    </row>
    <row r="301" spans="23:24" s="374" customFormat="1">
      <c r="W301" s="537"/>
      <c r="X301" s="537"/>
    </row>
    <row r="302" spans="23:24" s="374" customFormat="1">
      <c r="W302" s="537"/>
      <c r="X302" s="537"/>
    </row>
    <row r="303" spans="23:24" s="374" customFormat="1">
      <c r="W303" s="537"/>
      <c r="X303" s="537"/>
    </row>
    <row r="304" spans="23:24" s="374" customFormat="1">
      <c r="W304" s="537"/>
      <c r="X304" s="537"/>
    </row>
    <row r="305" spans="23:24" s="374" customFormat="1">
      <c r="W305" s="537"/>
      <c r="X305" s="537"/>
    </row>
    <row r="306" spans="23:24" s="374" customFormat="1">
      <c r="W306" s="537"/>
      <c r="X306" s="537"/>
    </row>
    <row r="307" spans="23:24" s="374" customFormat="1">
      <c r="W307" s="537"/>
      <c r="X307" s="537"/>
    </row>
    <row r="308" spans="23:24" s="374" customFormat="1">
      <c r="W308" s="537"/>
      <c r="X308" s="537"/>
    </row>
    <row r="309" spans="23:24" s="374" customFormat="1">
      <c r="W309" s="537"/>
      <c r="X309" s="537"/>
    </row>
    <row r="310" spans="23:24" s="374" customFormat="1">
      <c r="W310" s="537"/>
      <c r="X310" s="537"/>
    </row>
    <row r="311" spans="23:24" s="374" customFormat="1">
      <c r="W311" s="537"/>
      <c r="X311" s="537"/>
    </row>
    <row r="312" spans="23:24" s="374" customFormat="1">
      <c r="W312" s="537"/>
      <c r="X312" s="537"/>
    </row>
    <row r="313" spans="23:24" s="374" customFormat="1">
      <c r="W313" s="537"/>
      <c r="X313" s="537"/>
    </row>
    <row r="314" spans="23:24" s="374" customFormat="1">
      <c r="W314" s="537"/>
      <c r="X314" s="537"/>
    </row>
    <row r="315" spans="23:24" s="374" customFormat="1">
      <c r="W315" s="537"/>
      <c r="X315" s="537"/>
    </row>
    <row r="316" spans="23:24" s="374" customFormat="1">
      <c r="W316" s="537"/>
      <c r="X316" s="537"/>
    </row>
    <row r="317" spans="23:24" s="374" customFormat="1">
      <c r="W317" s="537"/>
      <c r="X317" s="537"/>
    </row>
    <row r="318" spans="23:24" s="374" customFormat="1">
      <c r="W318" s="537"/>
      <c r="X318" s="537"/>
    </row>
    <row r="319" spans="23:24" s="374" customFormat="1">
      <c r="W319" s="537"/>
      <c r="X319" s="537"/>
    </row>
    <row r="320" spans="23:24" s="374" customFormat="1">
      <c r="W320" s="537"/>
      <c r="X320" s="537"/>
    </row>
    <row r="321" spans="23:24" s="374" customFormat="1">
      <c r="W321" s="537"/>
      <c r="X321" s="537"/>
    </row>
    <row r="322" spans="23:24" s="374" customFormat="1">
      <c r="W322" s="537"/>
      <c r="X322" s="537"/>
    </row>
    <row r="323" spans="23:24" s="374" customFormat="1">
      <c r="W323" s="537"/>
      <c r="X323" s="537"/>
    </row>
    <row r="324" spans="23:24" s="374" customFormat="1">
      <c r="W324" s="537"/>
      <c r="X324" s="537"/>
    </row>
    <row r="325" spans="23:24" s="374" customFormat="1">
      <c r="W325" s="537"/>
      <c r="X325" s="537"/>
    </row>
    <row r="326" spans="23:24" s="374" customFormat="1">
      <c r="W326" s="537"/>
      <c r="X326" s="537"/>
    </row>
    <row r="327" spans="23:24" s="374" customFormat="1">
      <c r="W327" s="537"/>
      <c r="X327" s="537"/>
    </row>
    <row r="328" spans="23:24" s="374" customFormat="1">
      <c r="W328" s="537"/>
      <c r="X328" s="537"/>
    </row>
    <row r="329" spans="23:24" s="374" customFormat="1">
      <c r="W329" s="537"/>
      <c r="X329" s="537"/>
    </row>
    <row r="330" spans="23:24" s="374" customFormat="1">
      <c r="W330" s="537"/>
      <c r="X330" s="537"/>
    </row>
    <row r="331" spans="23:24" s="374" customFormat="1">
      <c r="W331" s="537"/>
      <c r="X331" s="537"/>
    </row>
    <row r="332" spans="23:24" s="374" customFormat="1">
      <c r="W332" s="537"/>
      <c r="X332" s="537"/>
    </row>
    <row r="333" spans="23:24" s="374" customFormat="1">
      <c r="W333" s="537"/>
      <c r="X333" s="537"/>
    </row>
    <row r="334" spans="23:24" s="374" customFormat="1">
      <c r="W334" s="537"/>
      <c r="X334" s="537"/>
    </row>
    <row r="335" spans="23:24" s="374" customFormat="1">
      <c r="W335" s="537"/>
      <c r="X335" s="537"/>
    </row>
    <row r="336" spans="23:24" s="374" customFormat="1">
      <c r="W336" s="537"/>
      <c r="X336" s="537"/>
    </row>
    <row r="337" spans="23:24" s="374" customFormat="1">
      <c r="W337" s="537"/>
      <c r="X337" s="537"/>
    </row>
    <row r="338" spans="23:24" s="374" customFormat="1">
      <c r="W338" s="537"/>
      <c r="X338" s="537"/>
    </row>
    <row r="339" spans="23:24" s="374" customFormat="1">
      <c r="W339" s="537"/>
      <c r="X339" s="537"/>
    </row>
    <row r="340" spans="23:24" s="374" customFormat="1">
      <c r="W340" s="537"/>
      <c r="X340" s="537"/>
    </row>
    <row r="341" spans="23:24" s="374" customFormat="1">
      <c r="W341" s="537"/>
      <c r="X341" s="537"/>
    </row>
    <row r="342" spans="23:24" s="374" customFormat="1">
      <c r="W342" s="537"/>
      <c r="X342" s="537"/>
    </row>
    <row r="343" spans="23:24" s="374" customFormat="1">
      <c r="W343" s="537"/>
      <c r="X343" s="537"/>
    </row>
    <row r="344" spans="23:24" s="374" customFormat="1">
      <c r="W344" s="537"/>
      <c r="X344" s="537"/>
    </row>
    <row r="345" spans="23:24" s="374" customFormat="1">
      <c r="W345" s="537"/>
      <c r="X345" s="537"/>
    </row>
    <row r="346" spans="23:24" s="374" customFormat="1">
      <c r="W346" s="537"/>
      <c r="X346" s="537"/>
    </row>
    <row r="347" spans="23:24" s="374" customFormat="1">
      <c r="W347" s="537"/>
      <c r="X347" s="537"/>
    </row>
    <row r="348" spans="23:24" s="374" customFormat="1">
      <c r="W348" s="537"/>
      <c r="X348" s="537"/>
    </row>
    <row r="349" spans="23:24" s="374" customFormat="1">
      <c r="W349" s="537"/>
      <c r="X349" s="537"/>
    </row>
    <row r="350" spans="23:24" s="374" customFormat="1">
      <c r="W350" s="537"/>
      <c r="X350" s="537"/>
    </row>
    <row r="351" spans="23:24" s="374" customFormat="1">
      <c r="W351" s="537"/>
      <c r="X351" s="537"/>
    </row>
    <row r="352" spans="23:24" s="374" customFormat="1">
      <c r="W352" s="537"/>
      <c r="X352" s="537"/>
    </row>
    <row r="353" spans="23:24" s="374" customFormat="1">
      <c r="W353" s="537"/>
      <c r="X353" s="537"/>
    </row>
    <row r="354" spans="23:24" s="374" customFormat="1">
      <c r="W354" s="537"/>
      <c r="X354" s="537"/>
    </row>
    <row r="355" spans="23:24" s="374" customFormat="1">
      <c r="W355" s="537"/>
      <c r="X355" s="537"/>
    </row>
    <row r="356" spans="23:24" s="374" customFormat="1">
      <c r="W356" s="537"/>
      <c r="X356" s="537"/>
    </row>
    <row r="357" spans="23:24" s="374" customFormat="1">
      <c r="W357" s="537"/>
      <c r="X357" s="537"/>
    </row>
    <row r="358" spans="23:24" s="374" customFormat="1">
      <c r="W358" s="537"/>
      <c r="X358" s="537"/>
    </row>
    <row r="359" spans="23:24" s="374" customFormat="1">
      <c r="W359" s="537"/>
      <c r="X359" s="537"/>
    </row>
    <row r="360" spans="23:24" s="374" customFormat="1">
      <c r="W360" s="537"/>
      <c r="X360" s="537"/>
    </row>
    <row r="361" spans="23:24" s="374" customFormat="1">
      <c r="W361" s="537"/>
      <c r="X361" s="537"/>
    </row>
    <row r="362" spans="23:24" s="374" customFormat="1">
      <c r="W362" s="537"/>
      <c r="X362" s="537"/>
    </row>
    <row r="363" spans="23:24" s="374" customFormat="1">
      <c r="W363" s="537"/>
      <c r="X363" s="537"/>
    </row>
    <row r="364" spans="23:24" s="374" customFormat="1">
      <c r="W364" s="537"/>
      <c r="X364" s="537"/>
    </row>
    <row r="365" spans="23:24" s="374" customFormat="1">
      <c r="W365" s="537"/>
      <c r="X365" s="537"/>
    </row>
    <row r="366" spans="23:24" s="374" customFormat="1">
      <c r="W366" s="537"/>
      <c r="X366" s="537"/>
    </row>
    <row r="367" spans="23:24" s="374" customFormat="1">
      <c r="W367" s="537"/>
      <c r="X367" s="537"/>
    </row>
    <row r="368" spans="23:24" s="374" customFormat="1">
      <c r="W368" s="537"/>
      <c r="X368" s="537"/>
    </row>
    <row r="369" spans="23:24" s="374" customFormat="1">
      <c r="W369" s="537"/>
      <c r="X369" s="537"/>
    </row>
    <row r="370" spans="23:24" s="374" customFormat="1">
      <c r="W370" s="537"/>
      <c r="X370" s="537"/>
    </row>
    <row r="371" spans="23:24" s="374" customFormat="1">
      <c r="W371" s="537"/>
      <c r="X371" s="537"/>
    </row>
    <row r="372" spans="23:24" s="374" customFormat="1">
      <c r="W372" s="537"/>
      <c r="X372" s="537"/>
    </row>
    <row r="373" spans="23:24" s="374" customFormat="1">
      <c r="W373" s="537"/>
      <c r="X373" s="537"/>
    </row>
    <row r="374" spans="23:24" s="374" customFormat="1">
      <c r="W374" s="537"/>
      <c r="X374" s="537"/>
    </row>
    <row r="375" spans="23:24" s="374" customFormat="1">
      <c r="W375" s="537"/>
      <c r="X375" s="537"/>
    </row>
    <row r="376" spans="23:24" s="374" customFormat="1">
      <c r="W376" s="537"/>
      <c r="X376" s="537"/>
    </row>
    <row r="377" spans="23:24" s="374" customFormat="1">
      <c r="W377" s="537"/>
      <c r="X377" s="537"/>
    </row>
    <row r="378" spans="23:24" s="374" customFormat="1">
      <c r="W378" s="537"/>
      <c r="X378" s="537"/>
    </row>
    <row r="379" spans="23:24" s="374" customFormat="1">
      <c r="W379" s="537"/>
      <c r="X379" s="537"/>
    </row>
    <row r="380" spans="23:24" s="374" customFormat="1">
      <c r="W380" s="537"/>
      <c r="X380" s="537"/>
    </row>
    <row r="381" spans="23:24" s="374" customFormat="1">
      <c r="W381" s="537"/>
      <c r="X381" s="537"/>
    </row>
    <row r="382" spans="23:24" s="374" customFormat="1">
      <c r="W382" s="537"/>
      <c r="X382" s="537"/>
    </row>
    <row r="383" spans="23:24" s="374" customFormat="1">
      <c r="W383" s="537"/>
      <c r="X383" s="537"/>
    </row>
    <row r="384" spans="23:24" s="374" customFormat="1">
      <c r="W384" s="537"/>
      <c r="X384" s="537"/>
    </row>
    <row r="385" spans="23:24" s="374" customFormat="1">
      <c r="W385" s="537"/>
      <c r="X385" s="537"/>
    </row>
    <row r="386" spans="23:24" s="374" customFormat="1">
      <c r="W386" s="537"/>
      <c r="X386" s="537"/>
    </row>
    <row r="387" spans="23:24" s="374" customFormat="1">
      <c r="W387" s="537"/>
      <c r="X387" s="537"/>
    </row>
    <row r="388" spans="23:24" s="374" customFormat="1">
      <c r="W388" s="537"/>
      <c r="X388" s="537"/>
    </row>
    <row r="389" spans="23:24" s="374" customFormat="1">
      <c r="W389" s="537"/>
      <c r="X389" s="537"/>
    </row>
    <row r="390" spans="23:24" s="374" customFormat="1">
      <c r="W390" s="537"/>
      <c r="X390" s="537"/>
    </row>
    <row r="391" spans="23:24" s="374" customFormat="1">
      <c r="W391" s="537"/>
      <c r="X391" s="537"/>
    </row>
    <row r="392" spans="23:24" s="374" customFormat="1">
      <c r="W392" s="537"/>
      <c r="X392" s="537"/>
    </row>
    <row r="393" spans="23:24" s="374" customFormat="1">
      <c r="W393" s="537"/>
      <c r="X393" s="537"/>
    </row>
    <row r="394" spans="23:24" s="374" customFormat="1">
      <c r="W394" s="537"/>
      <c r="X394" s="537"/>
    </row>
    <row r="395" spans="23:24" s="374" customFormat="1">
      <c r="W395" s="537"/>
      <c r="X395" s="537"/>
    </row>
    <row r="396" spans="23:24" s="374" customFormat="1">
      <c r="W396" s="537"/>
      <c r="X396" s="537"/>
    </row>
    <row r="397" spans="23:24" s="374" customFormat="1">
      <c r="W397" s="537"/>
      <c r="X397" s="537"/>
    </row>
    <row r="398" spans="23:24" s="374" customFormat="1">
      <c r="W398" s="537"/>
      <c r="X398" s="537"/>
    </row>
    <row r="399" spans="23:24" s="374" customFormat="1">
      <c r="W399" s="537"/>
      <c r="X399" s="537"/>
    </row>
    <row r="400" spans="23:24" s="374" customFormat="1">
      <c r="W400" s="537"/>
      <c r="X400" s="537"/>
    </row>
    <row r="401" spans="23:24" s="374" customFormat="1">
      <c r="W401" s="537"/>
      <c r="X401" s="537"/>
    </row>
    <row r="402" spans="23:24" s="374" customFormat="1">
      <c r="W402" s="537"/>
      <c r="X402" s="537"/>
    </row>
    <row r="403" spans="23:24" s="374" customFormat="1">
      <c r="W403" s="537"/>
      <c r="X403" s="537"/>
    </row>
    <row r="404" spans="23:24" s="374" customFormat="1">
      <c r="W404" s="537"/>
      <c r="X404" s="537"/>
    </row>
    <row r="405" spans="23:24" s="374" customFormat="1">
      <c r="W405" s="537"/>
      <c r="X405" s="537"/>
    </row>
    <row r="406" spans="23:24" s="374" customFormat="1">
      <c r="W406" s="537"/>
      <c r="X406" s="537"/>
    </row>
    <row r="407" spans="23:24" s="374" customFormat="1">
      <c r="W407" s="537"/>
      <c r="X407" s="537"/>
    </row>
    <row r="408" spans="23:24" s="374" customFormat="1">
      <c r="W408" s="537"/>
      <c r="X408" s="537"/>
    </row>
    <row r="409" spans="23:24" s="374" customFormat="1">
      <c r="W409" s="537"/>
      <c r="X409" s="537"/>
    </row>
    <row r="410" spans="23:24" s="374" customFormat="1">
      <c r="W410" s="537"/>
      <c r="X410" s="537"/>
    </row>
    <row r="411" spans="23:24" s="374" customFormat="1">
      <c r="W411" s="537"/>
      <c r="X411" s="537"/>
    </row>
    <row r="412" spans="23:24" s="374" customFormat="1">
      <c r="W412" s="537"/>
      <c r="X412" s="537"/>
    </row>
    <row r="413" spans="23:24" s="374" customFormat="1">
      <c r="W413" s="537"/>
      <c r="X413" s="537"/>
    </row>
    <row r="414" spans="23:24" s="374" customFormat="1">
      <c r="W414" s="537"/>
      <c r="X414" s="537"/>
    </row>
    <row r="415" spans="23:24" s="374" customFormat="1">
      <c r="W415" s="537"/>
      <c r="X415" s="537"/>
    </row>
    <row r="416" spans="23:24" s="374" customFormat="1">
      <c r="W416" s="537"/>
      <c r="X416" s="537"/>
    </row>
    <row r="417" spans="23:24" s="374" customFormat="1">
      <c r="W417" s="537"/>
      <c r="X417" s="537"/>
    </row>
    <row r="418" spans="23:24" s="374" customFormat="1">
      <c r="W418" s="537"/>
      <c r="X418" s="537"/>
    </row>
    <row r="419" spans="23:24" s="374" customFormat="1">
      <c r="W419" s="537"/>
      <c r="X419" s="537"/>
    </row>
    <row r="420" spans="23:24" s="374" customFormat="1">
      <c r="W420" s="537"/>
      <c r="X420" s="537"/>
    </row>
    <row r="421" spans="23:24" s="374" customFormat="1">
      <c r="W421" s="537"/>
      <c r="X421" s="537"/>
    </row>
    <row r="422" spans="23:24" s="374" customFormat="1">
      <c r="W422" s="537"/>
      <c r="X422" s="537"/>
    </row>
    <row r="423" spans="23:24" s="374" customFormat="1">
      <c r="W423" s="537"/>
      <c r="X423" s="537"/>
    </row>
    <row r="424" spans="23:24" s="374" customFormat="1">
      <c r="W424" s="537"/>
      <c r="X424" s="537"/>
    </row>
    <row r="425" spans="23:24" s="374" customFormat="1">
      <c r="W425" s="537"/>
      <c r="X425" s="537"/>
    </row>
    <row r="426" spans="23:24" s="374" customFormat="1">
      <c r="W426" s="537"/>
      <c r="X426" s="537"/>
    </row>
    <row r="427" spans="23:24" s="374" customFormat="1">
      <c r="W427" s="537"/>
      <c r="X427" s="537"/>
    </row>
    <row r="428" spans="23:24" s="374" customFormat="1">
      <c r="W428" s="537"/>
      <c r="X428" s="537"/>
    </row>
    <row r="429" spans="23:24" s="374" customFormat="1">
      <c r="W429" s="537"/>
      <c r="X429" s="537"/>
    </row>
    <row r="430" spans="23:24" s="374" customFormat="1">
      <c r="W430" s="537"/>
      <c r="X430" s="537"/>
    </row>
    <row r="431" spans="23:24" s="374" customFormat="1">
      <c r="W431" s="537"/>
      <c r="X431" s="537"/>
    </row>
    <row r="432" spans="23:24" s="374" customFormat="1">
      <c r="W432" s="537"/>
      <c r="X432" s="537"/>
    </row>
    <row r="433" spans="23:24" s="374" customFormat="1">
      <c r="W433" s="537"/>
      <c r="X433" s="537"/>
    </row>
    <row r="434" spans="23:24" s="374" customFormat="1">
      <c r="W434" s="537"/>
      <c r="X434" s="537"/>
    </row>
    <row r="435" spans="23:24" s="374" customFormat="1">
      <c r="W435" s="537"/>
      <c r="X435" s="537"/>
    </row>
    <row r="436" spans="23:24" s="374" customFormat="1">
      <c r="W436" s="537"/>
      <c r="X436" s="537"/>
    </row>
    <row r="437" spans="23:24" s="374" customFormat="1">
      <c r="W437" s="537"/>
      <c r="X437" s="537"/>
    </row>
    <row r="438" spans="23:24" s="374" customFormat="1">
      <c r="W438" s="537"/>
      <c r="X438" s="537"/>
    </row>
    <row r="439" spans="23:24" s="374" customFormat="1">
      <c r="W439" s="537"/>
      <c r="X439" s="537"/>
    </row>
    <row r="440" spans="23:24" s="374" customFormat="1">
      <c r="W440" s="537"/>
      <c r="X440" s="537"/>
    </row>
    <row r="441" spans="23:24" s="374" customFormat="1">
      <c r="W441" s="537"/>
      <c r="X441" s="537"/>
    </row>
    <row r="442" spans="23:24" s="374" customFormat="1">
      <c r="W442" s="537"/>
      <c r="X442" s="537"/>
    </row>
    <row r="443" spans="23:24" s="374" customFormat="1">
      <c r="W443" s="537"/>
      <c r="X443" s="537"/>
    </row>
    <row r="444" spans="23:24" s="374" customFormat="1">
      <c r="W444" s="537"/>
      <c r="X444" s="537"/>
    </row>
    <row r="445" spans="23:24" s="374" customFormat="1">
      <c r="W445" s="537"/>
      <c r="X445" s="537"/>
    </row>
    <row r="446" spans="23:24" s="374" customFormat="1">
      <c r="W446" s="537"/>
      <c r="X446" s="537"/>
    </row>
    <row r="447" spans="23:24" s="374" customFormat="1">
      <c r="W447" s="537"/>
      <c r="X447" s="537"/>
    </row>
    <row r="448" spans="23:24" s="374" customFormat="1">
      <c r="W448" s="537"/>
      <c r="X448" s="537"/>
    </row>
    <row r="449" spans="23:24" s="374" customFormat="1">
      <c r="W449" s="537"/>
      <c r="X449" s="537"/>
    </row>
    <row r="450" spans="23:24" s="374" customFormat="1">
      <c r="W450" s="537"/>
      <c r="X450" s="537"/>
    </row>
    <row r="451" spans="23:24" s="374" customFormat="1">
      <c r="W451" s="537"/>
      <c r="X451" s="537"/>
    </row>
    <row r="452" spans="23:24" s="374" customFormat="1">
      <c r="W452" s="537"/>
      <c r="X452" s="537"/>
    </row>
    <row r="453" spans="23:24" s="374" customFormat="1">
      <c r="W453" s="537"/>
      <c r="X453" s="537"/>
    </row>
    <row r="454" spans="23:24" s="374" customFormat="1">
      <c r="W454" s="537"/>
      <c r="X454" s="537"/>
    </row>
    <row r="455" spans="23:24" s="374" customFormat="1">
      <c r="W455" s="537"/>
      <c r="X455" s="537"/>
    </row>
    <row r="456" spans="23:24" s="374" customFormat="1">
      <c r="W456" s="537"/>
      <c r="X456" s="537"/>
    </row>
    <row r="457" spans="23:24" s="374" customFormat="1">
      <c r="W457" s="537"/>
      <c r="X457" s="537"/>
    </row>
    <row r="458" spans="23:24" s="374" customFormat="1">
      <c r="W458" s="537"/>
      <c r="X458" s="537"/>
    </row>
    <row r="459" spans="23:24" s="374" customFormat="1">
      <c r="W459" s="537"/>
      <c r="X459" s="537"/>
    </row>
    <row r="460" spans="23:24" s="374" customFormat="1">
      <c r="W460" s="537"/>
      <c r="X460" s="537"/>
    </row>
    <row r="461" spans="23:24" s="374" customFormat="1">
      <c r="W461" s="537"/>
      <c r="X461" s="537"/>
    </row>
    <row r="462" spans="23:24" s="374" customFormat="1">
      <c r="W462" s="537"/>
      <c r="X462" s="537"/>
    </row>
    <row r="463" spans="23:24" s="374" customFormat="1">
      <c r="W463" s="537"/>
      <c r="X463" s="537"/>
    </row>
    <row r="464" spans="23:24" s="374" customFormat="1">
      <c r="W464" s="537"/>
      <c r="X464" s="537"/>
    </row>
    <row r="465" spans="23:24" s="374" customFormat="1">
      <c r="W465" s="537"/>
      <c r="X465" s="537"/>
    </row>
    <row r="466" spans="23:24" s="374" customFormat="1">
      <c r="W466" s="537"/>
      <c r="X466" s="537"/>
    </row>
    <row r="467" spans="23:24" s="374" customFormat="1">
      <c r="W467" s="537"/>
      <c r="X467" s="537"/>
    </row>
    <row r="468" spans="23:24" s="374" customFormat="1">
      <c r="W468" s="537"/>
      <c r="X468" s="537"/>
    </row>
    <row r="469" spans="23:24" s="374" customFormat="1">
      <c r="W469" s="537"/>
      <c r="X469" s="537"/>
    </row>
    <row r="470" spans="23:24" s="374" customFormat="1">
      <c r="W470" s="537"/>
      <c r="X470" s="537"/>
    </row>
    <row r="471" spans="23:24" s="374" customFormat="1">
      <c r="W471" s="537"/>
      <c r="X471" s="537"/>
    </row>
    <row r="472" spans="23:24" s="374" customFormat="1">
      <c r="W472" s="537"/>
      <c r="X472" s="537"/>
    </row>
    <row r="473" spans="23:24" s="374" customFormat="1">
      <c r="W473" s="537"/>
      <c r="X473" s="537"/>
    </row>
    <row r="474" spans="23:24" s="374" customFormat="1">
      <c r="W474" s="537"/>
      <c r="X474" s="537"/>
    </row>
    <row r="475" spans="23:24" s="374" customFormat="1">
      <c r="W475" s="537"/>
      <c r="X475" s="537"/>
    </row>
    <row r="476" spans="23:24" s="374" customFormat="1">
      <c r="W476" s="537"/>
      <c r="X476" s="537"/>
    </row>
    <row r="477" spans="23:24" s="374" customFormat="1">
      <c r="W477" s="537"/>
      <c r="X477" s="537"/>
    </row>
    <row r="478" spans="23:24" s="374" customFormat="1">
      <c r="W478" s="537"/>
      <c r="X478" s="537"/>
    </row>
    <row r="479" spans="23:24" s="374" customFormat="1">
      <c r="W479" s="537"/>
      <c r="X479" s="537"/>
    </row>
    <row r="480" spans="23:24" s="374" customFormat="1">
      <c r="W480" s="537"/>
      <c r="X480" s="537"/>
    </row>
    <row r="481" spans="23:24" s="374" customFormat="1">
      <c r="W481" s="537"/>
      <c r="X481" s="537"/>
    </row>
    <row r="482" spans="23:24" s="374" customFormat="1">
      <c r="W482" s="537"/>
      <c r="X482" s="537"/>
    </row>
    <row r="483" spans="23:24" s="374" customFormat="1">
      <c r="W483" s="537"/>
      <c r="X483" s="537"/>
    </row>
    <row r="484" spans="23:24" s="374" customFormat="1">
      <c r="W484" s="537"/>
      <c r="X484" s="537"/>
    </row>
    <row r="485" spans="23:24" s="374" customFormat="1">
      <c r="W485" s="537"/>
      <c r="X485" s="537"/>
    </row>
    <row r="486" spans="23:24" s="374" customFormat="1">
      <c r="W486" s="537"/>
      <c r="X486" s="537"/>
    </row>
    <row r="487" spans="23:24" s="374" customFormat="1">
      <c r="W487" s="537"/>
      <c r="X487" s="537"/>
    </row>
    <row r="488" spans="23:24" s="374" customFormat="1">
      <c r="W488" s="537"/>
      <c r="X488" s="537"/>
    </row>
    <row r="489" spans="23:24" s="374" customFormat="1">
      <c r="W489" s="537"/>
      <c r="X489" s="537"/>
    </row>
    <row r="490" spans="23:24" s="374" customFormat="1">
      <c r="W490" s="537"/>
      <c r="X490" s="537"/>
    </row>
    <row r="491" spans="23:24" s="374" customFormat="1">
      <c r="W491" s="537"/>
      <c r="X491" s="537"/>
    </row>
    <row r="492" spans="23:24" s="374" customFormat="1">
      <c r="W492" s="537"/>
      <c r="X492" s="537"/>
    </row>
    <row r="493" spans="23:24" s="374" customFormat="1">
      <c r="W493" s="537"/>
      <c r="X493" s="537"/>
    </row>
    <row r="494" spans="23:24" s="374" customFormat="1">
      <c r="W494" s="537"/>
      <c r="X494" s="537"/>
    </row>
    <row r="495" spans="23:24" s="374" customFormat="1">
      <c r="W495" s="537"/>
      <c r="X495" s="537"/>
    </row>
    <row r="496" spans="23:24" s="374" customFormat="1">
      <c r="W496" s="537"/>
      <c r="X496" s="537"/>
    </row>
    <row r="497" spans="23:24" s="374" customFormat="1">
      <c r="W497" s="537"/>
      <c r="X497" s="537"/>
    </row>
    <row r="498" spans="23:24" s="374" customFormat="1">
      <c r="W498" s="537"/>
      <c r="X498" s="537"/>
    </row>
    <row r="499" spans="23:24" s="374" customFormat="1">
      <c r="W499" s="537"/>
      <c r="X499" s="537"/>
    </row>
    <row r="500" spans="23:24" s="374" customFormat="1">
      <c r="W500" s="537"/>
      <c r="X500" s="537"/>
    </row>
    <row r="501" spans="23:24" s="374" customFormat="1">
      <c r="W501" s="537"/>
      <c r="X501" s="537"/>
    </row>
    <row r="502" spans="23:24" s="374" customFormat="1">
      <c r="W502" s="537"/>
      <c r="X502" s="537"/>
    </row>
    <row r="503" spans="23:24" s="374" customFormat="1">
      <c r="W503" s="537"/>
      <c r="X503" s="537"/>
    </row>
    <row r="504" spans="23:24" s="374" customFormat="1">
      <c r="W504" s="537"/>
      <c r="X504" s="537"/>
    </row>
    <row r="505" spans="23:24" s="374" customFormat="1">
      <c r="W505" s="537"/>
      <c r="X505" s="537"/>
    </row>
    <row r="506" spans="23:24" s="374" customFormat="1">
      <c r="W506" s="537"/>
      <c r="X506" s="537"/>
    </row>
    <row r="507" spans="23:24" s="374" customFormat="1">
      <c r="W507" s="537"/>
      <c r="X507" s="537"/>
    </row>
    <row r="508" spans="23:24" s="374" customFormat="1">
      <c r="W508" s="537"/>
      <c r="X508" s="537"/>
    </row>
    <row r="509" spans="23:24" s="374" customFormat="1">
      <c r="W509" s="537"/>
      <c r="X509" s="537"/>
    </row>
    <row r="510" spans="23:24" s="374" customFormat="1">
      <c r="W510" s="537"/>
      <c r="X510" s="537"/>
    </row>
    <row r="511" spans="23:24" s="374" customFormat="1">
      <c r="W511" s="537"/>
      <c r="X511" s="537"/>
    </row>
    <row r="512" spans="23:24" s="374" customFormat="1">
      <c r="W512" s="537"/>
      <c r="X512" s="537"/>
    </row>
    <row r="513" spans="23:24" s="374" customFormat="1">
      <c r="W513" s="537"/>
      <c r="X513" s="537"/>
    </row>
    <row r="514" spans="23:24" s="374" customFormat="1">
      <c r="W514" s="537"/>
      <c r="X514" s="537"/>
    </row>
    <row r="515" spans="23:24" s="374" customFormat="1">
      <c r="W515" s="537"/>
      <c r="X515" s="537"/>
    </row>
    <row r="516" spans="23:24" s="374" customFormat="1">
      <c r="W516" s="537"/>
      <c r="X516" s="537"/>
    </row>
    <row r="517" spans="23:24" s="374" customFormat="1">
      <c r="W517" s="537"/>
      <c r="X517" s="537"/>
    </row>
    <row r="518" spans="23:24" s="374" customFormat="1">
      <c r="W518" s="537"/>
      <c r="X518" s="537"/>
    </row>
    <row r="519" spans="23:24" s="374" customFormat="1">
      <c r="W519" s="537"/>
      <c r="X519" s="537"/>
    </row>
    <row r="520" spans="23:24" s="374" customFormat="1">
      <c r="W520" s="537"/>
      <c r="X520" s="537"/>
    </row>
    <row r="521" spans="23:24" s="374" customFormat="1">
      <c r="W521" s="537"/>
      <c r="X521" s="537"/>
    </row>
    <row r="522" spans="23:24" s="374" customFormat="1">
      <c r="W522" s="537"/>
      <c r="X522" s="537"/>
    </row>
    <row r="523" spans="23:24" s="374" customFormat="1">
      <c r="W523" s="537"/>
      <c r="X523" s="537"/>
    </row>
    <row r="524" spans="23:24" s="374" customFormat="1">
      <c r="W524" s="537"/>
      <c r="X524" s="537"/>
    </row>
    <row r="525" spans="23:24" s="374" customFormat="1">
      <c r="W525" s="537"/>
      <c r="X525" s="537"/>
    </row>
    <row r="526" spans="23:24" s="374" customFormat="1">
      <c r="W526" s="537"/>
      <c r="X526" s="537"/>
    </row>
    <row r="527" spans="23:24" s="374" customFormat="1">
      <c r="W527" s="537"/>
      <c r="X527" s="537"/>
    </row>
    <row r="528" spans="23:24" s="374" customFormat="1">
      <c r="W528" s="537"/>
      <c r="X528" s="537"/>
    </row>
    <row r="529" spans="23:24" s="374" customFormat="1">
      <c r="W529" s="537"/>
      <c r="X529" s="537"/>
    </row>
    <row r="530" spans="23:24" s="374" customFormat="1">
      <c r="W530" s="537"/>
      <c r="X530" s="537"/>
    </row>
    <row r="531" spans="23:24" s="374" customFormat="1">
      <c r="W531" s="537"/>
      <c r="X531" s="537"/>
    </row>
    <row r="532" spans="23:24" s="374" customFormat="1">
      <c r="W532" s="537"/>
      <c r="X532" s="537"/>
    </row>
    <row r="533" spans="23:24" s="374" customFormat="1">
      <c r="W533" s="537"/>
      <c r="X533" s="537"/>
    </row>
    <row r="534" spans="23:24" s="374" customFormat="1">
      <c r="W534" s="537"/>
      <c r="X534" s="537"/>
    </row>
    <row r="535" spans="23:24" s="374" customFormat="1">
      <c r="W535" s="537"/>
      <c r="X535" s="537"/>
    </row>
    <row r="536" spans="23:24" s="374" customFormat="1">
      <c r="W536" s="537"/>
      <c r="X536" s="537"/>
    </row>
    <row r="537" spans="23:24" s="374" customFormat="1">
      <c r="W537" s="537"/>
      <c r="X537" s="537"/>
    </row>
    <row r="538" spans="23:24" s="374" customFormat="1">
      <c r="W538" s="537"/>
      <c r="X538" s="537"/>
    </row>
    <row r="539" spans="23:24" s="374" customFormat="1">
      <c r="W539" s="537"/>
      <c r="X539" s="537"/>
    </row>
    <row r="540" spans="23:24" s="374" customFormat="1">
      <c r="W540" s="537"/>
      <c r="X540" s="537"/>
    </row>
    <row r="541" spans="23:24" s="374" customFormat="1">
      <c r="W541" s="537"/>
      <c r="X541" s="537"/>
    </row>
    <row r="542" spans="23:24" s="374" customFormat="1">
      <c r="W542" s="537"/>
      <c r="X542" s="537"/>
    </row>
    <row r="543" spans="23:24" s="374" customFormat="1">
      <c r="W543" s="537"/>
      <c r="X543" s="537"/>
    </row>
    <row r="544" spans="23:24" s="374" customFormat="1">
      <c r="W544" s="537"/>
      <c r="X544" s="537"/>
    </row>
    <row r="545" spans="23:24" s="374" customFormat="1">
      <c r="W545" s="537"/>
      <c r="X545" s="537"/>
    </row>
    <row r="546" spans="23:24" s="374" customFormat="1">
      <c r="W546" s="537"/>
      <c r="X546" s="537"/>
    </row>
    <row r="547" spans="23:24" s="374" customFormat="1">
      <c r="W547" s="537"/>
      <c r="X547" s="537"/>
    </row>
    <row r="548" spans="23:24" s="374" customFormat="1">
      <c r="W548" s="537"/>
      <c r="X548" s="537"/>
    </row>
    <row r="549" spans="23:24" s="374" customFormat="1">
      <c r="W549" s="537"/>
      <c r="X549" s="537"/>
    </row>
    <row r="550" spans="23:24" s="374" customFormat="1">
      <c r="W550" s="537"/>
      <c r="X550" s="537"/>
    </row>
    <row r="551" spans="23:24" s="374" customFormat="1">
      <c r="W551" s="537"/>
      <c r="X551" s="537"/>
    </row>
    <row r="552" spans="23:24" s="374" customFormat="1">
      <c r="W552" s="537"/>
      <c r="X552" s="537"/>
    </row>
    <row r="553" spans="23:24" s="374" customFormat="1">
      <c r="W553" s="537"/>
      <c r="X553" s="537"/>
    </row>
    <row r="554" spans="23:24" s="374" customFormat="1">
      <c r="W554" s="537"/>
      <c r="X554" s="537"/>
    </row>
    <row r="555" spans="23:24" s="374" customFormat="1">
      <c r="W555" s="537"/>
      <c r="X555" s="537"/>
    </row>
    <row r="556" spans="23:24" s="374" customFormat="1">
      <c r="W556" s="537"/>
      <c r="X556" s="537"/>
    </row>
    <row r="557" spans="23:24" s="374" customFormat="1">
      <c r="W557" s="537"/>
      <c r="X557" s="537"/>
    </row>
    <row r="558" spans="23:24" s="374" customFormat="1">
      <c r="W558" s="537"/>
      <c r="X558" s="537"/>
    </row>
    <row r="559" spans="23:24" s="374" customFormat="1">
      <c r="W559" s="537"/>
      <c r="X559" s="537"/>
    </row>
    <row r="560" spans="23:24" s="374" customFormat="1">
      <c r="W560" s="537"/>
      <c r="X560" s="537"/>
    </row>
    <row r="561" spans="23:24" s="374" customFormat="1">
      <c r="W561" s="537"/>
      <c r="X561" s="537"/>
    </row>
    <row r="562" spans="23:24" s="374" customFormat="1">
      <c r="W562" s="537"/>
      <c r="X562" s="537"/>
    </row>
    <row r="563" spans="23:24" s="374" customFormat="1">
      <c r="W563" s="537"/>
      <c r="X563" s="537"/>
    </row>
    <row r="564" spans="23:24" s="374" customFormat="1">
      <c r="W564" s="537"/>
      <c r="X564" s="537"/>
    </row>
    <row r="565" spans="23:24" s="374" customFormat="1">
      <c r="W565" s="537"/>
      <c r="X565" s="537"/>
    </row>
    <row r="566" spans="23:24" s="374" customFormat="1">
      <c r="W566" s="537"/>
      <c r="X566" s="537"/>
    </row>
    <row r="567" spans="23:24" s="374" customFormat="1">
      <c r="W567" s="537"/>
      <c r="X567" s="537"/>
    </row>
    <row r="568" spans="23:24" s="374" customFormat="1">
      <c r="W568" s="537"/>
      <c r="X568" s="537"/>
    </row>
    <row r="569" spans="23:24" s="374" customFormat="1">
      <c r="W569" s="537"/>
      <c r="X569" s="537"/>
    </row>
    <row r="570" spans="23:24" s="374" customFormat="1">
      <c r="W570" s="537"/>
      <c r="X570" s="537"/>
    </row>
    <row r="571" spans="23:24" s="374" customFormat="1">
      <c r="W571" s="537"/>
      <c r="X571" s="537"/>
    </row>
    <row r="572" spans="23:24" s="374" customFormat="1">
      <c r="W572" s="537"/>
      <c r="X572" s="537"/>
    </row>
    <row r="573" spans="23:24" s="374" customFormat="1">
      <c r="W573" s="537"/>
      <c r="X573" s="537"/>
    </row>
    <row r="574" spans="23:24" s="374" customFormat="1">
      <c r="W574" s="537"/>
      <c r="X574" s="537"/>
    </row>
    <row r="575" spans="23:24" s="374" customFormat="1">
      <c r="W575" s="537"/>
      <c r="X575" s="537"/>
    </row>
    <row r="576" spans="23:24" s="374" customFormat="1">
      <c r="W576" s="537"/>
      <c r="X576" s="537"/>
    </row>
    <row r="577" spans="23:24" s="374" customFormat="1">
      <c r="W577" s="537"/>
      <c r="X577" s="537"/>
    </row>
    <row r="578" spans="23:24" s="374" customFormat="1">
      <c r="W578" s="537"/>
      <c r="X578" s="537"/>
    </row>
    <row r="579" spans="23:24" s="374" customFormat="1">
      <c r="W579" s="537"/>
      <c r="X579" s="537"/>
    </row>
    <row r="580" spans="23:24" s="374" customFormat="1">
      <c r="W580" s="537"/>
      <c r="X580" s="537"/>
    </row>
    <row r="581" spans="23:24" s="374" customFormat="1">
      <c r="W581" s="537"/>
      <c r="X581" s="537"/>
    </row>
    <row r="582" spans="23:24" s="374" customFormat="1">
      <c r="W582" s="537"/>
      <c r="X582" s="537"/>
    </row>
    <row r="583" spans="23:24" s="374" customFormat="1">
      <c r="W583" s="537"/>
      <c r="X583" s="537"/>
    </row>
    <row r="584" spans="23:24" s="374" customFormat="1">
      <c r="W584" s="537"/>
      <c r="X584" s="537"/>
    </row>
    <row r="585" spans="23:24" s="374" customFormat="1">
      <c r="W585" s="537"/>
      <c r="X585" s="537"/>
    </row>
    <row r="586" spans="23:24" s="374" customFormat="1">
      <c r="W586" s="537"/>
      <c r="X586" s="537"/>
    </row>
    <row r="587" spans="23:24" s="374" customFormat="1">
      <c r="W587" s="537"/>
      <c r="X587" s="537"/>
    </row>
    <row r="588" spans="23:24" s="374" customFormat="1">
      <c r="W588" s="537"/>
      <c r="X588" s="537"/>
    </row>
    <row r="589" spans="23:24" s="374" customFormat="1">
      <c r="W589" s="537"/>
      <c r="X589" s="537"/>
    </row>
    <row r="590" spans="23:24" s="374" customFormat="1">
      <c r="W590" s="537"/>
      <c r="X590" s="537"/>
    </row>
    <row r="591" spans="23:24" s="374" customFormat="1">
      <c r="W591" s="537"/>
      <c r="X591" s="537"/>
    </row>
    <row r="592" spans="23:24" s="374" customFormat="1">
      <c r="W592" s="537"/>
      <c r="X592" s="537"/>
    </row>
    <row r="593" spans="23:24" s="374" customFormat="1">
      <c r="W593" s="537"/>
      <c r="X593" s="537"/>
    </row>
    <row r="594" spans="23:24" s="374" customFormat="1">
      <c r="W594" s="537"/>
      <c r="X594" s="537"/>
    </row>
    <row r="595" spans="23:24" s="374" customFormat="1">
      <c r="W595" s="537"/>
      <c r="X595" s="537"/>
    </row>
    <row r="596" spans="23:24" s="374" customFormat="1">
      <c r="W596" s="537"/>
      <c r="X596" s="537"/>
    </row>
    <row r="597" spans="23:24" s="374" customFormat="1">
      <c r="W597" s="537"/>
      <c r="X597" s="537"/>
    </row>
    <row r="598" spans="23:24" s="374" customFormat="1">
      <c r="W598" s="537"/>
      <c r="X598" s="537"/>
    </row>
    <row r="599" spans="23:24" s="374" customFormat="1">
      <c r="W599" s="537"/>
      <c r="X599" s="537"/>
    </row>
    <row r="600" spans="23:24" s="374" customFormat="1">
      <c r="W600" s="537"/>
      <c r="X600" s="537"/>
    </row>
    <row r="601" spans="23:24" s="374" customFormat="1">
      <c r="W601" s="537"/>
      <c r="X601" s="537"/>
    </row>
    <row r="602" spans="23:24" s="374" customFormat="1">
      <c r="W602" s="537"/>
      <c r="X602" s="537"/>
    </row>
    <row r="603" spans="23:24" s="374" customFormat="1">
      <c r="W603" s="537"/>
      <c r="X603" s="537"/>
    </row>
    <row r="604" spans="23:24" s="374" customFormat="1">
      <c r="W604" s="537"/>
      <c r="X604" s="537"/>
    </row>
    <row r="605" spans="23:24" s="374" customFormat="1">
      <c r="W605" s="537"/>
      <c r="X605" s="537"/>
    </row>
    <row r="606" spans="23:24" s="374" customFormat="1">
      <c r="W606" s="537"/>
      <c r="X606" s="537"/>
    </row>
    <row r="607" spans="23:24" s="374" customFormat="1">
      <c r="W607" s="537"/>
      <c r="X607" s="537"/>
    </row>
    <row r="608" spans="23:24" s="374" customFormat="1">
      <c r="W608" s="537"/>
      <c r="X608" s="537"/>
    </row>
    <row r="609" spans="23:24" s="374" customFormat="1">
      <c r="W609" s="537"/>
      <c r="X609" s="537"/>
    </row>
    <row r="610" spans="23:24" s="374" customFormat="1">
      <c r="W610" s="537"/>
      <c r="X610" s="537"/>
    </row>
    <row r="611" spans="23:24" s="374" customFormat="1">
      <c r="W611" s="537"/>
      <c r="X611" s="537"/>
    </row>
    <row r="612" spans="23:24" s="374" customFormat="1">
      <c r="W612" s="537"/>
      <c r="X612" s="537"/>
    </row>
    <row r="613" spans="23:24" s="374" customFormat="1">
      <c r="W613" s="537"/>
      <c r="X613" s="537"/>
    </row>
    <row r="614" spans="23:24" s="374" customFormat="1">
      <c r="W614" s="537"/>
      <c r="X614" s="537"/>
    </row>
    <row r="615" spans="23:24" s="374" customFormat="1">
      <c r="W615" s="537"/>
      <c r="X615" s="537"/>
    </row>
    <row r="616" spans="23:24" s="374" customFormat="1">
      <c r="W616" s="537"/>
      <c r="X616" s="537"/>
    </row>
    <row r="617" spans="23:24" s="374" customFormat="1">
      <c r="W617" s="537"/>
      <c r="X617" s="537"/>
    </row>
    <row r="618" spans="23:24" s="374" customFormat="1">
      <c r="W618" s="537"/>
      <c r="X618" s="537"/>
    </row>
    <row r="619" spans="23:24" s="374" customFormat="1">
      <c r="W619" s="537"/>
      <c r="X619" s="537"/>
    </row>
    <row r="620" spans="23:24" s="374" customFormat="1">
      <c r="W620" s="537"/>
      <c r="X620" s="537"/>
    </row>
    <row r="621" spans="23:24" s="374" customFormat="1">
      <c r="W621" s="537"/>
      <c r="X621" s="537"/>
    </row>
    <row r="622" spans="23:24" s="374" customFormat="1">
      <c r="W622" s="537"/>
      <c r="X622" s="537"/>
    </row>
    <row r="623" spans="23:24" s="374" customFormat="1">
      <c r="W623" s="537"/>
      <c r="X623" s="537"/>
    </row>
    <row r="624" spans="23:24" s="374" customFormat="1">
      <c r="W624" s="537"/>
      <c r="X624" s="537"/>
    </row>
    <row r="625" spans="23:24" s="374" customFormat="1">
      <c r="W625" s="537"/>
      <c r="X625" s="537"/>
    </row>
    <row r="626" spans="23:24" s="374" customFormat="1">
      <c r="W626" s="537"/>
      <c r="X626" s="537"/>
    </row>
    <row r="627" spans="23:24" s="374" customFormat="1">
      <c r="W627" s="537"/>
      <c r="X627" s="537"/>
    </row>
    <row r="628" spans="23:24" s="374" customFormat="1">
      <c r="W628" s="537"/>
      <c r="X628" s="537"/>
    </row>
    <row r="629" spans="23:24" s="374" customFormat="1">
      <c r="W629" s="537"/>
      <c r="X629" s="537"/>
    </row>
    <row r="630" spans="23:24" s="374" customFormat="1">
      <c r="W630" s="537"/>
      <c r="X630" s="537"/>
    </row>
    <row r="631" spans="23:24" s="374" customFormat="1">
      <c r="W631" s="537"/>
      <c r="X631" s="537"/>
    </row>
    <row r="632" spans="23:24" s="374" customFormat="1">
      <c r="W632" s="537"/>
      <c r="X632" s="537"/>
    </row>
    <row r="633" spans="23:24" s="374" customFormat="1">
      <c r="W633" s="537"/>
      <c r="X633" s="537"/>
    </row>
    <row r="634" spans="23:24" s="374" customFormat="1">
      <c r="W634" s="537"/>
      <c r="X634" s="537"/>
    </row>
    <row r="635" spans="23:24" s="374" customFormat="1">
      <c r="W635" s="537"/>
      <c r="X635" s="537"/>
    </row>
    <row r="636" spans="23:24" s="374" customFormat="1">
      <c r="W636" s="537"/>
      <c r="X636" s="537"/>
    </row>
    <row r="637" spans="23:24" s="374" customFormat="1">
      <c r="W637" s="537"/>
      <c r="X637" s="537"/>
    </row>
    <row r="638" spans="23:24" s="374" customFormat="1">
      <c r="W638" s="537"/>
      <c r="X638" s="537"/>
    </row>
    <row r="639" spans="23:24" s="374" customFormat="1">
      <c r="W639" s="537"/>
      <c r="X639" s="537"/>
    </row>
    <row r="640" spans="23:24" s="374" customFormat="1">
      <c r="W640" s="537"/>
      <c r="X640" s="537"/>
    </row>
    <row r="641" spans="23:24" s="374" customFormat="1">
      <c r="W641" s="537"/>
      <c r="X641" s="537"/>
    </row>
    <row r="642" spans="23:24" s="374" customFormat="1">
      <c r="W642" s="537"/>
      <c r="X642" s="537"/>
    </row>
    <row r="643" spans="23:24" s="374" customFormat="1">
      <c r="W643" s="537"/>
      <c r="X643" s="537"/>
    </row>
    <row r="644" spans="23:24" s="374" customFormat="1">
      <c r="W644" s="537"/>
      <c r="X644" s="537"/>
    </row>
    <row r="645" spans="23:24" s="374" customFormat="1">
      <c r="W645" s="537"/>
      <c r="X645" s="537"/>
    </row>
    <row r="646" spans="23:24" s="374" customFormat="1">
      <c r="W646" s="537"/>
      <c r="X646" s="537"/>
    </row>
    <row r="647" spans="23:24" s="374" customFormat="1">
      <c r="W647" s="537"/>
      <c r="X647" s="537"/>
    </row>
    <row r="648" spans="23:24" s="374" customFormat="1">
      <c r="W648" s="537"/>
      <c r="X648" s="537"/>
    </row>
    <row r="649" spans="23:24" s="374" customFormat="1">
      <c r="W649" s="537"/>
      <c r="X649" s="537"/>
    </row>
    <row r="650" spans="23:24" s="374" customFormat="1">
      <c r="W650" s="537"/>
      <c r="X650" s="537"/>
    </row>
    <row r="651" spans="23:24" s="374" customFormat="1">
      <c r="W651" s="537"/>
      <c r="X651" s="537"/>
    </row>
    <row r="652" spans="23:24" s="374" customFormat="1">
      <c r="W652" s="537"/>
      <c r="X652" s="537"/>
    </row>
    <row r="653" spans="23:24" s="374" customFormat="1">
      <c r="W653" s="537"/>
      <c r="X653" s="537"/>
    </row>
    <row r="654" spans="23:24" s="374" customFormat="1">
      <c r="W654" s="537"/>
      <c r="X654" s="537"/>
    </row>
    <row r="655" spans="23:24" s="374" customFormat="1">
      <c r="W655" s="537"/>
      <c r="X655" s="537"/>
    </row>
    <row r="656" spans="23:24" s="374" customFormat="1">
      <c r="W656" s="537"/>
      <c r="X656" s="537"/>
    </row>
    <row r="657" spans="23:24" s="374" customFormat="1">
      <c r="W657" s="537"/>
      <c r="X657" s="537"/>
    </row>
    <row r="658" spans="23:24" s="374" customFormat="1">
      <c r="W658" s="537"/>
      <c r="X658" s="537"/>
    </row>
    <row r="659" spans="23:24" s="374" customFormat="1">
      <c r="W659" s="537"/>
      <c r="X659" s="537"/>
    </row>
    <row r="660" spans="23:24" s="374" customFormat="1">
      <c r="W660" s="537"/>
      <c r="X660" s="537"/>
    </row>
    <row r="661" spans="23:24" s="374" customFormat="1">
      <c r="W661" s="537"/>
      <c r="X661" s="537"/>
    </row>
    <row r="662" spans="23:24" s="374" customFormat="1">
      <c r="W662" s="537"/>
      <c r="X662" s="537"/>
    </row>
    <row r="663" spans="23:24" s="374" customFormat="1">
      <c r="W663" s="537"/>
      <c r="X663" s="537"/>
    </row>
    <row r="664" spans="23:24" s="374" customFormat="1">
      <c r="W664" s="537"/>
      <c r="X664" s="537"/>
    </row>
    <row r="665" spans="23:24" s="374" customFormat="1">
      <c r="W665" s="537"/>
      <c r="X665" s="537"/>
    </row>
    <row r="666" spans="23:24" s="374" customFormat="1">
      <c r="W666" s="537"/>
      <c r="X666" s="537"/>
    </row>
    <row r="667" spans="23:24" s="374" customFormat="1">
      <c r="W667" s="537"/>
      <c r="X667" s="537"/>
    </row>
    <row r="668" spans="23:24" s="374" customFormat="1">
      <c r="W668" s="537"/>
      <c r="X668" s="537"/>
    </row>
    <row r="669" spans="23:24" s="374" customFormat="1">
      <c r="W669" s="537"/>
      <c r="X669" s="537"/>
    </row>
    <row r="670" spans="23:24" s="374" customFormat="1">
      <c r="W670" s="537"/>
      <c r="X670" s="537"/>
    </row>
    <row r="671" spans="23:24" s="374" customFormat="1">
      <c r="W671" s="537"/>
      <c r="X671" s="537"/>
    </row>
    <row r="672" spans="23:24" s="374" customFormat="1">
      <c r="W672" s="537"/>
      <c r="X672" s="537"/>
    </row>
    <row r="673" spans="23:24" s="374" customFormat="1">
      <c r="W673" s="537"/>
      <c r="X673" s="537"/>
    </row>
    <row r="674" spans="23:24" s="374" customFormat="1">
      <c r="W674" s="537"/>
      <c r="X674" s="537"/>
    </row>
    <row r="675" spans="23:24" s="374" customFormat="1">
      <c r="W675" s="537"/>
      <c r="X675" s="537"/>
    </row>
    <row r="676" spans="23:24" s="374" customFormat="1">
      <c r="W676" s="537"/>
      <c r="X676" s="537"/>
    </row>
    <row r="677" spans="23:24" s="374" customFormat="1">
      <c r="W677" s="537"/>
      <c r="X677" s="537"/>
    </row>
    <row r="678" spans="23:24" s="374" customFormat="1">
      <c r="W678" s="537"/>
      <c r="X678" s="537"/>
    </row>
    <row r="679" spans="23:24" s="374" customFormat="1">
      <c r="W679" s="537"/>
      <c r="X679" s="537"/>
    </row>
    <row r="680" spans="23:24" s="374" customFormat="1">
      <c r="W680" s="537"/>
      <c r="X680" s="537"/>
    </row>
    <row r="681" spans="23:24" s="374" customFormat="1">
      <c r="W681" s="537"/>
      <c r="X681" s="537"/>
    </row>
    <row r="682" spans="23:24" s="374" customFormat="1">
      <c r="W682" s="537"/>
      <c r="X682" s="537"/>
    </row>
    <row r="683" spans="23:24" s="374" customFormat="1">
      <c r="W683" s="537"/>
      <c r="X683" s="537"/>
    </row>
    <row r="684" spans="23:24" s="374" customFormat="1">
      <c r="W684" s="537"/>
      <c r="X684" s="537"/>
    </row>
    <row r="685" spans="23:24" s="374" customFormat="1">
      <c r="W685" s="537"/>
      <c r="X685" s="537"/>
    </row>
    <row r="686" spans="23:24" s="374" customFormat="1">
      <c r="W686" s="537"/>
      <c r="X686" s="537"/>
    </row>
    <row r="687" spans="23:24" s="374" customFormat="1">
      <c r="W687" s="537"/>
      <c r="X687" s="537"/>
    </row>
    <row r="688" spans="23:24" s="374" customFormat="1">
      <c r="W688" s="537"/>
      <c r="X688" s="537"/>
    </row>
    <row r="689" spans="23:24" s="374" customFormat="1">
      <c r="W689" s="537"/>
      <c r="X689" s="537"/>
    </row>
    <row r="690" spans="23:24" s="374" customFormat="1">
      <c r="W690" s="537"/>
      <c r="X690" s="537"/>
    </row>
    <row r="691" spans="23:24" s="374" customFormat="1">
      <c r="W691" s="537"/>
      <c r="X691" s="537"/>
    </row>
    <row r="692" spans="23:24" s="374" customFormat="1">
      <c r="W692" s="537"/>
      <c r="X692" s="537"/>
    </row>
    <row r="693" spans="23:24" s="374" customFormat="1">
      <c r="W693" s="537"/>
      <c r="X693" s="537"/>
    </row>
    <row r="694" spans="23:24" s="374" customFormat="1">
      <c r="W694" s="537"/>
      <c r="X694" s="537"/>
    </row>
    <row r="695" spans="23:24" s="374" customFormat="1">
      <c r="W695" s="537"/>
      <c r="X695" s="537"/>
    </row>
    <row r="696" spans="23:24" s="374" customFormat="1">
      <c r="W696" s="537"/>
      <c r="X696" s="537"/>
    </row>
    <row r="697" spans="23:24" s="374" customFormat="1">
      <c r="W697" s="537"/>
      <c r="X697" s="537"/>
    </row>
    <row r="698" spans="23:24" s="374" customFormat="1">
      <c r="W698" s="537"/>
      <c r="X698" s="537"/>
    </row>
    <row r="699" spans="23:24" s="374" customFormat="1">
      <c r="W699" s="537"/>
      <c r="X699" s="537"/>
    </row>
    <row r="700" spans="23:24" s="374" customFormat="1">
      <c r="W700" s="537"/>
      <c r="X700" s="537"/>
    </row>
    <row r="701" spans="23:24" s="374" customFormat="1">
      <c r="W701" s="537"/>
      <c r="X701" s="537"/>
    </row>
    <row r="702" spans="23:24" s="374" customFormat="1">
      <c r="W702" s="537"/>
      <c r="X702" s="537"/>
    </row>
    <row r="703" spans="23:24" s="374" customFormat="1">
      <c r="W703" s="537"/>
      <c r="X703" s="537"/>
    </row>
    <row r="704" spans="23:24" s="374" customFormat="1">
      <c r="W704" s="537"/>
      <c r="X704" s="537"/>
    </row>
    <row r="705" spans="23:24" s="374" customFormat="1">
      <c r="W705" s="537"/>
      <c r="X705" s="537"/>
    </row>
    <row r="706" spans="23:24" s="374" customFormat="1">
      <c r="W706" s="537"/>
      <c r="X706" s="537"/>
    </row>
    <row r="707" spans="23:24" s="374" customFormat="1">
      <c r="W707" s="537"/>
      <c r="X707" s="537"/>
    </row>
    <row r="708" spans="23:24" s="374" customFormat="1">
      <c r="W708" s="537"/>
      <c r="X708" s="537"/>
    </row>
    <row r="709" spans="23:24" s="374" customFormat="1">
      <c r="W709" s="537"/>
      <c r="X709" s="537"/>
    </row>
    <row r="710" spans="23:24" s="374" customFormat="1">
      <c r="W710" s="537"/>
      <c r="X710" s="537"/>
    </row>
    <row r="711" spans="23:24" s="374" customFormat="1">
      <c r="W711" s="537"/>
      <c r="X711" s="537"/>
    </row>
    <row r="712" spans="23:24" s="374" customFormat="1">
      <c r="W712" s="537"/>
      <c r="X712" s="537"/>
    </row>
    <row r="713" spans="23:24" s="374" customFormat="1">
      <c r="W713" s="537"/>
      <c r="X713" s="537"/>
    </row>
    <row r="714" spans="23:24" s="374" customFormat="1">
      <c r="W714" s="537"/>
      <c r="X714" s="537"/>
    </row>
    <row r="715" spans="23:24" s="374" customFormat="1">
      <c r="W715" s="537"/>
      <c r="X715" s="537"/>
    </row>
    <row r="716" spans="23:24" s="374" customFormat="1">
      <c r="W716" s="537"/>
      <c r="X716" s="537"/>
    </row>
    <row r="717" spans="23:24" s="374" customFormat="1">
      <c r="W717" s="537"/>
      <c r="X717" s="537"/>
    </row>
    <row r="718" spans="23:24" s="374" customFormat="1">
      <c r="W718" s="537"/>
      <c r="X718" s="537"/>
    </row>
    <row r="719" spans="23:24" s="374" customFormat="1">
      <c r="W719" s="537"/>
      <c r="X719" s="537"/>
    </row>
    <row r="720" spans="23:24" s="374" customFormat="1">
      <c r="W720" s="537"/>
      <c r="X720" s="537"/>
    </row>
    <row r="721" spans="23:24" s="374" customFormat="1">
      <c r="W721" s="537"/>
      <c r="X721" s="537"/>
    </row>
    <row r="722" spans="23:24" s="374" customFormat="1">
      <c r="W722" s="537"/>
      <c r="X722" s="537"/>
    </row>
    <row r="723" spans="23:24" s="374" customFormat="1">
      <c r="W723" s="537"/>
      <c r="X723" s="537"/>
    </row>
    <row r="724" spans="23:24" s="374" customFormat="1">
      <c r="W724" s="537"/>
      <c r="X724" s="537"/>
    </row>
    <row r="725" spans="23:24" s="374" customFormat="1">
      <c r="W725" s="537"/>
      <c r="X725" s="537"/>
    </row>
    <row r="726" spans="23:24" s="374" customFormat="1">
      <c r="W726" s="537"/>
      <c r="X726" s="537"/>
    </row>
    <row r="727" spans="23:24" s="374" customFormat="1">
      <c r="W727" s="537"/>
      <c r="X727" s="537"/>
    </row>
    <row r="728" spans="23:24" s="374" customFormat="1">
      <c r="W728" s="537"/>
      <c r="X728" s="537"/>
    </row>
    <row r="729" spans="23:24" s="374" customFormat="1">
      <c r="W729" s="537"/>
      <c r="X729" s="537"/>
    </row>
    <row r="730" spans="23:24" s="374" customFormat="1">
      <c r="W730" s="537"/>
      <c r="X730" s="537"/>
    </row>
    <row r="731" spans="23:24" s="374" customFormat="1">
      <c r="W731" s="537"/>
      <c r="X731" s="537"/>
    </row>
  </sheetData>
  <mergeCells count="20">
    <mergeCell ref="R2:V2"/>
    <mergeCell ref="C3:G3"/>
    <mergeCell ref="H3:L3"/>
    <mergeCell ref="M3:Q3"/>
    <mergeCell ref="R3:V3"/>
    <mergeCell ref="C2:G2"/>
    <mergeCell ref="H2:L2"/>
    <mergeCell ref="M2:Q2"/>
    <mergeCell ref="R4:V4"/>
    <mergeCell ref="G6:G7"/>
    <mergeCell ref="L6:L7"/>
    <mergeCell ref="Q6:Q7"/>
    <mergeCell ref="V6:V7"/>
    <mergeCell ref="R5:V5"/>
    <mergeCell ref="M5:Q5"/>
    <mergeCell ref="H5:L5"/>
    <mergeCell ref="C5:G5"/>
    <mergeCell ref="C4:G4"/>
    <mergeCell ref="H4:L4"/>
    <mergeCell ref="M4:Q4"/>
  </mergeCells>
  <pageMargins left="0.7" right="0.7" top="0.75" bottom="0.75" header="0.3" footer="0.3"/>
  <pageSetup paperSize="9" scale="46" orientation="portrait" horizont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RW78"/>
  <sheetViews>
    <sheetView showGridLines="0" zoomScale="115" zoomScaleNormal="115" zoomScaleSheetLayoutView="85" workbookViewId="0">
      <pane xSplit="2" ySplit="4" topLeftCell="AI5" activePane="bottomRight" state="frozen"/>
      <selection pane="topRight" activeCell="C1" sqref="C1"/>
      <selection pane="bottomLeft" activeCell="A5" sqref="A5"/>
      <selection pane="bottomRight" activeCell="AL4" sqref="AL4"/>
    </sheetView>
  </sheetViews>
  <sheetFormatPr defaultColWidth="9" defaultRowHeight="12.75" outlineLevelCol="1"/>
  <cols>
    <col min="1" max="1" width="53" style="6" customWidth="1"/>
    <col min="2" max="2" width="53" style="271" customWidth="1"/>
    <col min="3" max="3" width="11.5" style="7" hidden="1" customWidth="1" outlineLevel="1"/>
    <col min="4" max="4" width="12.375" style="7" hidden="1" customWidth="1" outlineLevel="1"/>
    <col min="5" max="5" width="13.625" style="7" hidden="1" customWidth="1" outlineLevel="1"/>
    <col min="6" max="6" width="12.125" style="7" hidden="1" customWidth="1" outlineLevel="1"/>
    <col min="7" max="9" width="13.625" style="7" hidden="1" customWidth="1" outlineLevel="1"/>
    <col min="10" max="10" width="12.125" style="7" hidden="1" customWidth="1" outlineLevel="1"/>
    <col min="11" max="11" width="13.625" style="7" hidden="1" customWidth="1" outlineLevel="1"/>
    <col min="12" max="13" width="13.625" style="29" hidden="1" customWidth="1" outlineLevel="1"/>
    <col min="14" max="14" width="12.125" style="7" hidden="1" customWidth="1" outlineLevel="1"/>
    <col min="15" max="16" width="13.625" style="7" hidden="1" customWidth="1" outlineLevel="1"/>
    <col min="17" max="17" width="13.625" style="29" hidden="1" customWidth="1" outlineLevel="1"/>
    <col min="18" max="30" width="13.625" style="7" hidden="1" customWidth="1" outlineLevel="1"/>
    <col min="31" max="31" width="13.625" style="7" customWidth="1" collapsed="1"/>
    <col min="32" max="38" width="13.625" style="7" customWidth="1"/>
    <col min="39" max="16384" width="9" style="7"/>
  </cols>
  <sheetData>
    <row r="1" spans="1:491" s="26" customFormat="1" ht="50.25" customHeight="1" thickBot="1">
      <c r="A1" s="5" t="s">
        <v>150</v>
      </c>
      <c r="B1" s="5" t="s">
        <v>285</v>
      </c>
      <c r="C1" s="5"/>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c r="CS1" s="25"/>
      <c r="CT1" s="25"/>
      <c r="CU1" s="25"/>
      <c r="CV1" s="25"/>
      <c r="CW1" s="25"/>
      <c r="CX1" s="25"/>
      <c r="CY1" s="25"/>
      <c r="CZ1" s="25"/>
      <c r="DA1" s="25"/>
      <c r="DB1" s="25"/>
      <c r="DC1" s="25"/>
      <c r="DD1" s="25"/>
      <c r="DE1" s="25"/>
      <c r="DF1" s="25"/>
      <c r="DG1" s="25"/>
      <c r="DH1" s="25"/>
      <c r="DI1" s="25"/>
      <c r="DJ1" s="25"/>
      <c r="DK1" s="25"/>
      <c r="DL1" s="25"/>
      <c r="DM1" s="25"/>
      <c r="DN1" s="25"/>
      <c r="DO1" s="25"/>
      <c r="DP1" s="25"/>
      <c r="DQ1" s="25"/>
      <c r="DR1" s="25"/>
      <c r="DS1" s="25"/>
      <c r="DT1" s="25"/>
      <c r="DU1" s="25"/>
      <c r="DV1" s="25"/>
      <c r="DW1" s="25"/>
      <c r="DX1" s="25"/>
      <c r="DY1" s="25"/>
      <c r="DZ1" s="25"/>
      <c r="EA1" s="25"/>
      <c r="EB1" s="25"/>
      <c r="EC1" s="25"/>
      <c r="ED1" s="25"/>
      <c r="EE1" s="25"/>
      <c r="EF1" s="25"/>
      <c r="EG1" s="25"/>
      <c r="EH1" s="25"/>
      <c r="EI1" s="25"/>
      <c r="EJ1" s="25"/>
      <c r="EK1" s="25"/>
      <c r="EL1" s="25"/>
      <c r="EM1" s="25"/>
      <c r="EN1" s="25"/>
      <c r="EO1" s="25"/>
      <c r="EP1" s="25"/>
      <c r="EQ1" s="25"/>
      <c r="ER1" s="25"/>
      <c r="ES1" s="25"/>
      <c r="ET1" s="25"/>
      <c r="EU1" s="25"/>
      <c r="EV1" s="25"/>
      <c r="EW1" s="25"/>
      <c r="EX1" s="25"/>
      <c r="EY1" s="25"/>
      <c r="EZ1" s="25"/>
      <c r="FA1" s="25"/>
      <c r="FB1" s="25"/>
      <c r="FC1" s="25"/>
      <c r="FD1" s="25"/>
      <c r="FE1" s="25"/>
      <c r="FF1" s="25"/>
      <c r="FG1" s="25"/>
      <c r="FH1" s="25"/>
      <c r="FI1" s="25"/>
      <c r="FJ1" s="25"/>
      <c r="FK1" s="25"/>
      <c r="FL1" s="25"/>
      <c r="FM1" s="25"/>
      <c r="FN1" s="25"/>
      <c r="FO1" s="25"/>
      <c r="FP1" s="25"/>
      <c r="FQ1" s="25"/>
      <c r="FR1" s="25"/>
      <c r="FS1" s="25"/>
      <c r="FT1" s="25"/>
      <c r="FU1" s="25"/>
      <c r="FV1" s="25"/>
      <c r="FW1" s="25"/>
      <c r="FX1" s="25"/>
      <c r="FY1" s="25"/>
      <c r="FZ1" s="25"/>
      <c r="GA1" s="25"/>
      <c r="GB1" s="25"/>
      <c r="GC1" s="25"/>
      <c r="GD1" s="25"/>
      <c r="GE1" s="25"/>
      <c r="GF1" s="25"/>
      <c r="GG1" s="25"/>
      <c r="GH1" s="25"/>
      <c r="GI1" s="25"/>
      <c r="GJ1" s="25"/>
      <c r="GK1" s="25"/>
      <c r="GL1" s="25"/>
      <c r="GM1" s="25"/>
      <c r="GN1" s="25"/>
      <c r="GO1" s="25"/>
      <c r="GP1" s="25"/>
      <c r="GQ1" s="25"/>
      <c r="GR1" s="25"/>
      <c r="GS1" s="25"/>
      <c r="GT1" s="25"/>
      <c r="GU1" s="25"/>
      <c r="GV1" s="25"/>
      <c r="GW1" s="25"/>
      <c r="GX1" s="25"/>
      <c r="GY1" s="25"/>
      <c r="GZ1" s="25"/>
      <c r="HA1" s="25"/>
      <c r="HB1" s="25"/>
      <c r="HC1" s="25"/>
      <c r="HD1" s="25"/>
      <c r="HE1" s="25"/>
      <c r="HF1" s="25"/>
      <c r="HG1" s="25"/>
      <c r="HH1" s="25"/>
      <c r="HI1" s="25"/>
      <c r="HJ1" s="25"/>
      <c r="HK1" s="25"/>
      <c r="HL1" s="25"/>
      <c r="HM1" s="25"/>
      <c r="HN1" s="25"/>
      <c r="HO1" s="25"/>
      <c r="HP1" s="25"/>
      <c r="HQ1" s="25"/>
      <c r="HR1" s="25"/>
      <c r="HS1" s="25"/>
      <c r="HT1" s="25"/>
      <c r="HU1" s="25"/>
      <c r="HV1" s="25"/>
      <c r="HW1" s="25"/>
      <c r="HX1" s="25"/>
      <c r="HY1" s="25"/>
      <c r="HZ1" s="25"/>
      <c r="IA1" s="25"/>
      <c r="IB1" s="25"/>
      <c r="IC1" s="25"/>
      <c r="ID1" s="25"/>
      <c r="IE1" s="25"/>
      <c r="IF1" s="25"/>
      <c r="IG1" s="25"/>
      <c r="IH1" s="25"/>
      <c r="II1" s="25"/>
      <c r="IJ1" s="25"/>
      <c r="IK1" s="25"/>
      <c r="IL1" s="25"/>
      <c r="IM1" s="25"/>
      <c r="IN1" s="25"/>
      <c r="IO1" s="25"/>
      <c r="IP1" s="25"/>
      <c r="IQ1" s="25"/>
      <c r="IR1" s="25"/>
      <c r="IS1" s="25"/>
      <c r="IT1" s="25"/>
      <c r="IU1" s="25"/>
      <c r="IV1" s="25"/>
      <c r="IW1" s="25"/>
      <c r="IX1" s="25"/>
      <c r="IY1" s="25"/>
      <c r="IZ1" s="25"/>
      <c r="JA1" s="25"/>
      <c r="JB1" s="25"/>
      <c r="JC1" s="25"/>
      <c r="JD1" s="25"/>
      <c r="JE1" s="25"/>
      <c r="JF1" s="25"/>
      <c r="JG1" s="25"/>
      <c r="JH1" s="25"/>
      <c r="JI1" s="25"/>
      <c r="JJ1" s="25"/>
      <c r="JK1" s="25"/>
      <c r="JL1" s="25"/>
      <c r="JM1" s="25"/>
      <c r="JN1" s="25"/>
      <c r="JO1" s="25"/>
      <c r="JP1" s="25"/>
      <c r="JQ1" s="25"/>
      <c r="JR1" s="25"/>
      <c r="JS1" s="25"/>
      <c r="JT1" s="25"/>
      <c r="JU1" s="25"/>
      <c r="JV1" s="25"/>
      <c r="JW1" s="25"/>
      <c r="JX1" s="25"/>
      <c r="JY1" s="25"/>
      <c r="JZ1" s="25"/>
      <c r="KA1" s="25"/>
      <c r="KB1" s="25"/>
      <c r="KC1" s="25"/>
      <c r="KD1" s="25"/>
      <c r="KE1" s="25"/>
      <c r="KF1" s="25"/>
      <c r="KG1" s="25"/>
      <c r="KH1" s="25"/>
      <c r="KI1" s="25"/>
      <c r="KJ1" s="25"/>
      <c r="KK1" s="25"/>
      <c r="KL1" s="25"/>
      <c r="KM1" s="25"/>
      <c r="KN1" s="25"/>
      <c r="KO1" s="25"/>
      <c r="KP1" s="25"/>
      <c r="KQ1" s="25"/>
      <c r="KR1" s="25"/>
      <c r="KS1" s="25"/>
      <c r="KT1" s="25"/>
      <c r="KU1" s="25"/>
      <c r="KV1" s="25"/>
      <c r="KW1" s="25"/>
      <c r="KX1" s="25"/>
      <c r="KY1" s="25"/>
      <c r="KZ1" s="25"/>
      <c r="LA1" s="25"/>
      <c r="LB1" s="25"/>
      <c r="LC1" s="25"/>
      <c r="LD1" s="25"/>
      <c r="LE1" s="25"/>
      <c r="LF1" s="25"/>
      <c r="LG1" s="25"/>
      <c r="LH1" s="25"/>
      <c r="LI1" s="25"/>
      <c r="LJ1" s="25"/>
      <c r="LK1" s="25"/>
      <c r="LL1" s="25"/>
      <c r="LM1" s="25"/>
      <c r="LN1" s="25"/>
      <c r="LO1" s="25"/>
      <c r="LP1" s="25"/>
      <c r="LQ1" s="25"/>
      <c r="LR1" s="25"/>
      <c r="LS1" s="25"/>
      <c r="LT1" s="25"/>
      <c r="LU1" s="25"/>
      <c r="LV1" s="25"/>
      <c r="LW1" s="25"/>
      <c r="LX1" s="25"/>
      <c r="LY1" s="25"/>
      <c r="LZ1" s="25"/>
      <c r="MA1" s="25"/>
      <c r="MB1" s="25"/>
      <c r="MC1" s="25"/>
      <c r="MD1" s="25"/>
      <c r="ME1" s="25"/>
      <c r="MF1" s="25"/>
      <c r="MG1" s="25"/>
      <c r="MH1" s="25"/>
      <c r="MI1" s="25"/>
      <c r="MJ1" s="25"/>
      <c r="MK1" s="25"/>
      <c r="ML1" s="25"/>
      <c r="MM1" s="25"/>
      <c r="MN1" s="25"/>
      <c r="MO1" s="25"/>
      <c r="MP1" s="25"/>
      <c r="MQ1" s="25"/>
      <c r="MR1" s="25"/>
      <c r="MS1" s="25"/>
      <c r="MT1" s="25"/>
      <c r="MU1" s="25"/>
      <c r="MV1" s="25"/>
      <c r="MW1" s="25"/>
      <c r="MX1" s="25"/>
      <c r="MY1" s="25"/>
      <c r="MZ1" s="25"/>
      <c r="NA1" s="25"/>
      <c r="NB1" s="25"/>
      <c r="NC1" s="25"/>
      <c r="ND1" s="25"/>
      <c r="NE1" s="25"/>
      <c r="NF1" s="25"/>
      <c r="NG1" s="25"/>
      <c r="NH1" s="25"/>
      <c r="NI1" s="25"/>
      <c r="NJ1" s="25"/>
      <c r="NK1" s="25"/>
      <c r="NL1" s="25"/>
      <c r="NM1" s="25"/>
      <c r="NN1" s="25"/>
      <c r="NO1" s="25"/>
      <c r="NP1" s="25"/>
      <c r="NQ1" s="25"/>
      <c r="NR1" s="25"/>
      <c r="NS1" s="25"/>
      <c r="NT1" s="25"/>
      <c r="NU1" s="25"/>
      <c r="NV1" s="25"/>
      <c r="NW1" s="25"/>
      <c r="NX1" s="25"/>
      <c r="NY1" s="25"/>
      <c r="NZ1" s="25"/>
      <c r="OA1" s="25"/>
      <c r="OB1" s="25"/>
      <c r="OC1" s="25"/>
      <c r="OD1" s="25"/>
      <c r="OE1" s="25"/>
      <c r="OF1" s="25"/>
      <c r="OG1" s="25"/>
      <c r="OH1" s="25"/>
      <c r="OI1" s="25"/>
      <c r="OJ1" s="25"/>
      <c r="OK1" s="25"/>
      <c r="OL1" s="25"/>
      <c r="OM1" s="25"/>
      <c r="ON1" s="25"/>
      <c r="OO1" s="25"/>
      <c r="OP1" s="25"/>
      <c r="OQ1" s="25"/>
      <c r="OR1" s="25"/>
      <c r="OS1" s="25"/>
      <c r="OT1" s="25"/>
      <c r="OU1" s="25"/>
      <c r="OV1" s="25"/>
      <c r="OW1" s="25"/>
      <c r="OX1" s="25"/>
      <c r="OY1" s="25"/>
      <c r="OZ1" s="25"/>
      <c r="PA1" s="25"/>
      <c r="PB1" s="25"/>
      <c r="PC1" s="25"/>
      <c r="PD1" s="25"/>
      <c r="PE1" s="25"/>
      <c r="PF1" s="25"/>
      <c r="PG1" s="25"/>
      <c r="PH1" s="25"/>
      <c r="PI1" s="25"/>
      <c r="PJ1" s="25"/>
      <c r="PK1" s="25"/>
      <c r="PL1" s="25"/>
      <c r="PM1" s="25"/>
      <c r="PN1" s="25"/>
      <c r="PO1" s="25"/>
      <c r="PP1" s="25"/>
      <c r="PQ1" s="25"/>
      <c r="PR1" s="25"/>
      <c r="PS1" s="25"/>
      <c r="PT1" s="25"/>
      <c r="PU1" s="25"/>
      <c r="PV1" s="25"/>
      <c r="PW1" s="25"/>
      <c r="PX1" s="25"/>
      <c r="PY1" s="25"/>
      <c r="PZ1" s="25"/>
      <c r="QA1" s="25"/>
      <c r="QB1" s="25"/>
      <c r="QC1" s="25"/>
      <c r="QD1" s="25"/>
      <c r="QE1" s="25"/>
      <c r="QF1" s="25"/>
      <c r="QG1" s="25"/>
      <c r="QH1" s="25"/>
      <c r="QI1" s="25"/>
      <c r="QJ1" s="25"/>
      <c r="QK1" s="25"/>
      <c r="QL1" s="25"/>
      <c r="QM1" s="25"/>
      <c r="QN1" s="25"/>
      <c r="QO1" s="25"/>
      <c r="QP1" s="25"/>
      <c r="QQ1" s="25"/>
      <c r="QR1" s="25"/>
      <c r="QS1" s="25"/>
      <c r="QT1" s="25"/>
      <c r="QU1" s="25"/>
      <c r="QV1" s="25"/>
      <c r="QW1" s="25"/>
      <c r="QX1" s="25"/>
      <c r="QY1" s="25"/>
      <c r="QZ1" s="25"/>
      <c r="RA1" s="25"/>
      <c r="RB1" s="25"/>
      <c r="RC1" s="25"/>
      <c r="RD1" s="25"/>
      <c r="RE1" s="25"/>
      <c r="RF1" s="25"/>
      <c r="RG1" s="25"/>
      <c r="RH1" s="25"/>
      <c r="RI1" s="25"/>
      <c r="RJ1" s="25"/>
      <c r="RK1" s="25"/>
      <c r="RL1" s="25"/>
      <c r="RM1" s="25"/>
      <c r="RN1" s="25"/>
      <c r="RO1" s="25"/>
      <c r="RP1" s="25"/>
      <c r="RQ1" s="25"/>
      <c r="RR1" s="25"/>
      <c r="RS1" s="25"/>
      <c r="RT1" s="25"/>
      <c r="RU1" s="25"/>
      <c r="RV1" s="25"/>
      <c r="RW1" s="25"/>
    </row>
    <row r="2" spans="1:491" s="26" customFormat="1" ht="42.75" customHeight="1">
      <c r="A2" s="8" t="s">
        <v>110</v>
      </c>
      <c r="B2" s="666" t="s">
        <v>300</v>
      </c>
      <c r="C2" s="739">
        <v>2012</v>
      </c>
      <c r="D2" s="739"/>
      <c r="E2" s="739"/>
      <c r="F2" s="740"/>
      <c r="G2" s="739">
        <v>2013</v>
      </c>
      <c r="H2" s="739"/>
      <c r="I2" s="739"/>
      <c r="J2" s="739"/>
      <c r="K2" s="741">
        <v>2014</v>
      </c>
      <c r="L2" s="739"/>
      <c r="M2" s="739"/>
      <c r="N2" s="740"/>
      <c r="O2" s="742">
        <v>2015</v>
      </c>
      <c r="P2" s="742"/>
      <c r="Q2" s="742"/>
      <c r="R2" s="743"/>
      <c r="S2" s="741">
        <v>2016</v>
      </c>
      <c r="T2" s="739"/>
      <c r="U2" s="739"/>
      <c r="V2" s="740"/>
      <c r="W2" s="741" t="s">
        <v>359</v>
      </c>
      <c r="X2" s="739"/>
      <c r="Y2" s="739"/>
      <c r="Z2" s="740"/>
      <c r="AA2" s="741" t="s">
        <v>360</v>
      </c>
      <c r="AB2" s="739"/>
      <c r="AC2" s="739"/>
      <c r="AD2" s="740"/>
      <c r="AE2" s="741" t="s">
        <v>361</v>
      </c>
      <c r="AF2" s="744"/>
      <c r="AG2" s="744"/>
      <c r="AH2" s="745"/>
      <c r="AI2" s="741">
        <v>2020</v>
      </c>
      <c r="AJ2" s="744"/>
      <c r="AK2" s="744"/>
      <c r="AL2" s="74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25"/>
      <c r="CS2" s="25"/>
      <c r="CT2" s="25"/>
      <c r="CU2" s="25"/>
      <c r="CV2" s="25"/>
      <c r="CW2" s="25"/>
      <c r="CX2" s="25"/>
      <c r="CY2" s="25"/>
      <c r="CZ2" s="25"/>
      <c r="DA2" s="25"/>
      <c r="DB2" s="25"/>
      <c r="DC2" s="25"/>
      <c r="DD2" s="25"/>
      <c r="DE2" s="25"/>
      <c r="DF2" s="25"/>
      <c r="DG2" s="25"/>
      <c r="DH2" s="25"/>
      <c r="DI2" s="25"/>
      <c r="DJ2" s="25"/>
      <c r="DK2" s="25"/>
      <c r="DL2" s="25"/>
      <c r="DM2" s="25"/>
      <c r="DN2" s="25"/>
      <c r="DO2" s="25"/>
      <c r="DP2" s="25"/>
      <c r="DQ2" s="25"/>
      <c r="DR2" s="25"/>
      <c r="DS2" s="25"/>
      <c r="DT2" s="25"/>
      <c r="DU2" s="25"/>
      <c r="DV2" s="25"/>
      <c r="DW2" s="25"/>
      <c r="DX2" s="25"/>
      <c r="DY2" s="25"/>
      <c r="DZ2" s="25"/>
      <c r="EA2" s="25"/>
      <c r="EB2" s="25"/>
      <c r="EC2" s="25"/>
      <c r="ED2" s="25"/>
      <c r="EE2" s="25"/>
      <c r="EF2" s="25"/>
      <c r="EG2" s="25"/>
      <c r="EH2" s="25"/>
      <c r="EI2" s="25"/>
      <c r="EJ2" s="25"/>
      <c r="EK2" s="25"/>
      <c r="EL2" s="25"/>
      <c r="EM2" s="25"/>
      <c r="EN2" s="25"/>
      <c r="EO2" s="25"/>
      <c r="EP2" s="25"/>
      <c r="EQ2" s="25"/>
      <c r="ER2" s="25"/>
      <c r="ES2" s="25"/>
      <c r="ET2" s="25"/>
      <c r="EU2" s="25"/>
      <c r="EV2" s="25"/>
      <c r="EW2" s="25"/>
      <c r="EX2" s="25"/>
      <c r="EY2" s="25"/>
      <c r="EZ2" s="25"/>
      <c r="FA2" s="25"/>
      <c r="FB2" s="25"/>
      <c r="FC2" s="25"/>
      <c r="FD2" s="25"/>
      <c r="FE2" s="25"/>
      <c r="FF2" s="25"/>
      <c r="FG2" s="25"/>
      <c r="FH2" s="25"/>
      <c r="FI2" s="25"/>
      <c r="FJ2" s="25"/>
      <c r="FK2" s="25"/>
      <c r="FL2" s="25"/>
      <c r="FM2" s="25"/>
      <c r="FN2" s="25"/>
      <c r="FO2" s="25"/>
      <c r="FP2" s="25"/>
      <c r="FQ2" s="25"/>
      <c r="FR2" s="25"/>
      <c r="FS2" s="25"/>
      <c r="FT2" s="25"/>
      <c r="FU2" s="25"/>
      <c r="FV2" s="25"/>
      <c r="FW2" s="25"/>
      <c r="FX2" s="25"/>
      <c r="FY2" s="25"/>
      <c r="FZ2" s="25"/>
      <c r="GA2" s="25"/>
      <c r="GB2" s="25"/>
      <c r="GC2" s="25"/>
      <c r="GD2" s="25"/>
      <c r="GE2" s="25"/>
      <c r="GF2" s="25"/>
      <c r="GG2" s="25"/>
      <c r="GH2" s="25"/>
      <c r="GI2" s="25"/>
      <c r="GJ2" s="25"/>
      <c r="GK2" s="25"/>
      <c r="GL2" s="25"/>
      <c r="GM2" s="25"/>
      <c r="GN2" s="25"/>
      <c r="GO2" s="25"/>
      <c r="GP2" s="25"/>
      <c r="GQ2" s="25"/>
      <c r="GR2" s="25"/>
      <c r="GS2" s="25"/>
      <c r="GT2" s="25"/>
      <c r="GU2" s="25"/>
      <c r="GV2" s="25"/>
      <c r="GW2" s="25"/>
      <c r="GX2" s="25"/>
      <c r="GY2" s="25"/>
      <c r="GZ2" s="25"/>
      <c r="HA2" s="25"/>
      <c r="HB2" s="25"/>
      <c r="HC2" s="25"/>
      <c r="HD2" s="25"/>
      <c r="HE2" s="25"/>
      <c r="HF2" s="25"/>
      <c r="HG2" s="25"/>
      <c r="HH2" s="25"/>
      <c r="HI2" s="25"/>
      <c r="HJ2" s="25"/>
      <c r="HK2" s="25"/>
      <c r="HL2" s="25"/>
      <c r="HM2" s="25"/>
      <c r="HN2" s="25"/>
      <c r="HO2" s="25"/>
      <c r="HP2" s="25"/>
      <c r="HQ2" s="25"/>
      <c r="HR2" s="25"/>
      <c r="HS2" s="25"/>
      <c r="HT2" s="25"/>
      <c r="HU2" s="25"/>
      <c r="HV2" s="25"/>
      <c r="HW2" s="25"/>
      <c r="HX2" s="25"/>
      <c r="HY2" s="25"/>
      <c r="HZ2" s="25"/>
      <c r="IA2" s="25"/>
      <c r="IB2" s="25"/>
      <c r="IC2" s="25"/>
      <c r="ID2" s="25"/>
      <c r="IE2" s="25"/>
      <c r="IF2" s="25"/>
      <c r="IG2" s="25"/>
      <c r="IH2" s="25"/>
      <c r="II2" s="25"/>
      <c r="IJ2" s="25"/>
      <c r="IK2" s="25"/>
      <c r="IL2" s="25"/>
      <c r="IM2" s="25"/>
      <c r="IN2" s="25"/>
      <c r="IO2" s="25"/>
      <c r="IP2" s="25"/>
      <c r="IQ2" s="25"/>
      <c r="IR2" s="25"/>
      <c r="IS2" s="25"/>
      <c r="IT2" s="25"/>
      <c r="IU2" s="25"/>
      <c r="IV2" s="25"/>
      <c r="IW2" s="25"/>
      <c r="IX2" s="25"/>
      <c r="IY2" s="25"/>
      <c r="IZ2" s="25"/>
      <c r="JA2" s="25"/>
      <c r="JB2" s="25"/>
      <c r="JC2" s="25"/>
      <c r="JD2" s="25"/>
      <c r="JE2" s="25"/>
      <c r="JF2" s="25"/>
      <c r="JG2" s="25"/>
      <c r="JH2" s="25"/>
      <c r="JI2" s="25"/>
      <c r="JJ2" s="25"/>
      <c r="JK2" s="25"/>
      <c r="JL2" s="25"/>
      <c r="JM2" s="25"/>
      <c r="JN2" s="25"/>
      <c r="JO2" s="25"/>
      <c r="JP2" s="25"/>
      <c r="JQ2" s="25"/>
      <c r="JR2" s="25"/>
      <c r="JS2" s="25"/>
      <c r="JT2" s="25"/>
      <c r="JU2" s="25"/>
      <c r="JV2" s="25"/>
      <c r="JW2" s="25"/>
      <c r="JX2" s="25"/>
      <c r="JY2" s="25"/>
      <c r="JZ2" s="25"/>
      <c r="KA2" s="25"/>
      <c r="KB2" s="25"/>
      <c r="KC2" s="25"/>
      <c r="KD2" s="25"/>
      <c r="KE2" s="25"/>
      <c r="KF2" s="25"/>
      <c r="KG2" s="25"/>
      <c r="KH2" s="25"/>
      <c r="KI2" s="25"/>
      <c r="KJ2" s="25"/>
      <c r="KK2" s="25"/>
      <c r="KL2" s="25"/>
      <c r="KM2" s="25"/>
      <c r="KN2" s="25"/>
      <c r="KO2" s="25"/>
      <c r="KP2" s="25"/>
      <c r="KQ2" s="25"/>
      <c r="KR2" s="25"/>
      <c r="KS2" s="25"/>
      <c r="KT2" s="25"/>
      <c r="KU2" s="25"/>
      <c r="KV2" s="25"/>
      <c r="KW2" s="25"/>
      <c r="KX2" s="25"/>
      <c r="KY2" s="25"/>
      <c r="KZ2" s="25"/>
      <c r="LA2" s="25"/>
      <c r="LB2" s="25"/>
      <c r="LC2" s="25"/>
      <c r="LD2" s="25"/>
      <c r="LE2" s="25"/>
      <c r="LF2" s="25"/>
      <c r="LG2" s="25"/>
      <c r="LH2" s="25"/>
      <c r="LI2" s="25"/>
      <c r="LJ2" s="25"/>
      <c r="LK2" s="25"/>
      <c r="LL2" s="25"/>
      <c r="LM2" s="25"/>
      <c r="LN2" s="25"/>
      <c r="LO2" s="25"/>
      <c r="LP2" s="25"/>
      <c r="LQ2" s="25"/>
      <c r="LR2" s="25"/>
      <c r="LS2" s="25"/>
      <c r="LT2" s="25"/>
      <c r="LU2" s="25"/>
      <c r="LV2" s="25"/>
      <c r="LW2" s="25"/>
      <c r="LX2" s="25"/>
      <c r="LY2" s="25"/>
      <c r="LZ2" s="25"/>
      <c r="MA2" s="25"/>
      <c r="MB2" s="25"/>
      <c r="MC2" s="25"/>
      <c r="MD2" s="25"/>
      <c r="ME2" s="25"/>
      <c r="MF2" s="25"/>
      <c r="MG2" s="25"/>
      <c r="MH2" s="25"/>
      <c r="MI2" s="25"/>
      <c r="MJ2" s="25"/>
      <c r="MK2" s="25"/>
      <c r="ML2" s="25"/>
      <c r="MM2" s="25"/>
      <c r="MN2" s="25"/>
      <c r="MO2" s="25"/>
      <c r="MP2" s="25"/>
      <c r="MQ2" s="25"/>
      <c r="MR2" s="25"/>
      <c r="MS2" s="25"/>
      <c r="MT2" s="25"/>
      <c r="MU2" s="25"/>
      <c r="MV2" s="25"/>
      <c r="MW2" s="25"/>
      <c r="MX2" s="25"/>
      <c r="MY2" s="25"/>
      <c r="MZ2" s="25"/>
      <c r="NA2" s="25"/>
      <c r="NB2" s="25"/>
      <c r="NC2" s="25"/>
      <c r="ND2" s="25"/>
      <c r="NE2" s="25"/>
      <c r="NF2" s="25"/>
      <c r="NG2" s="25"/>
      <c r="NH2" s="25"/>
      <c r="NI2" s="25"/>
      <c r="NJ2" s="25"/>
      <c r="NK2" s="25"/>
      <c r="NL2" s="25"/>
      <c r="NM2" s="25"/>
      <c r="NN2" s="25"/>
      <c r="NO2" s="25"/>
      <c r="NP2" s="25"/>
      <c r="NQ2" s="25"/>
      <c r="NR2" s="25"/>
      <c r="NS2" s="25"/>
      <c r="NT2" s="25"/>
      <c r="NU2" s="25"/>
      <c r="NV2" s="25"/>
      <c r="NW2" s="25"/>
      <c r="NX2" s="25"/>
      <c r="NY2" s="25"/>
      <c r="NZ2" s="25"/>
      <c r="OA2" s="25"/>
      <c r="OB2" s="25"/>
      <c r="OC2" s="25"/>
      <c r="OD2" s="25"/>
      <c r="OE2" s="25"/>
      <c r="OF2" s="25"/>
      <c r="OG2" s="25"/>
      <c r="OH2" s="25"/>
      <c r="OI2" s="25"/>
      <c r="OJ2" s="25"/>
      <c r="OK2" s="25"/>
      <c r="OL2" s="25"/>
      <c r="OM2" s="25"/>
      <c r="ON2" s="25"/>
      <c r="OO2" s="25"/>
      <c r="OP2" s="25"/>
      <c r="OQ2" s="25"/>
      <c r="OR2" s="25"/>
      <c r="OS2" s="25"/>
      <c r="OT2" s="25"/>
      <c r="OU2" s="25"/>
      <c r="OV2" s="25"/>
      <c r="OW2" s="25"/>
      <c r="OX2" s="25"/>
      <c r="OY2" s="25"/>
      <c r="OZ2" s="25"/>
      <c r="PA2" s="25"/>
      <c r="PB2" s="25"/>
      <c r="PC2" s="25"/>
      <c r="PD2" s="25"/>
      <c r="PE2" s="25"/>
      <c r="PF2" s="25"/>
      <c r="PG2" s="25"/>
      <c r="PH2" s="25"/>
      <c r="PI2" s="25"/>
      <c r="PJ2" s="25"/>
      <c r="PK2" s="25"/>
      <c r="PL2" s="25"/>
      <c r="PM2" s="25"/>
      <c r="PN2" s="25"/>
      <c r="PO2" s="25"/>
      <c r="PP2" s="25"/>
      <c r="PQ2" s="25"/>
      <c r="PR2" s="25"/>
      <c r="PS2" s="25"/>
      <c r="PT2" s="25"/>
      <c r="PU2" s="25"/>
      <c r="PV2" s="25"/>
      <c r="PW2" s="25"/>
      <c r="PX2" s="25"/>
      <c r="PY2" s="25"/>
      <c r="PZ2" s="25"/>
      <c r="QA2" s="25"/>
      <c r="QB2" s="25"/>
      <c r="QC2" s="25"/>
      <c r="QD2" s="25"/>
      <c r="QE2" s="25"/>
      <c r="QF2" s="25"/>
      <c r="QG2" s="25"/>
      <c r="QH2" s="25"/>
      <c r="QI2" s="25"/>
      <c r="QJ2" s="25"/>
      <c r="QK2" s="25"/>
      <c r="QL2" s="25"/>
      <c r="QM2" s="25"/>
      <c r="QN2" s="25"/>
      <c r="QO2" s="25"/>
      <c r="QP2" s="25"/>
      <c r="QQ2" s="25"/>
      <c r="QR2" s="25"/>
      <c r="QS2" s="25"/>
      <c r="QT2" s="25"/>
      <c r="QU2" s="25"/>
      <c r="QV2" s="25"/>
      <c r="QW2" s="25"/>
      <c r="QX2" s="25"/>
      <c r="QY2" s="25"/>
      <c r="QZ2" s="25"/>
      <c r="RA2" s="25"/>
      <c r="RB2" s="25"/>
      <c r="RC2" s="25"/>
      <c r="RD2" s="25"/>
      <c r="RE2" s="25"/>
      <c r="RF2" s="25"/>
      <c r="RG2" s="25"/>
      <c r="RH2" s="25"/>
      <c r="RI2" s="25"/>
      <c r="RJ2" s="25"/>
      <c r="RK2" s="25"/>
      <c r="RL2" s="25"/>
      <c r="RM2" s="25"/>
      <c r="RN2" s="25"/>
      <c r="RO2" s="25"/>
      <c r="RP2" s="25"/>
      <c r="RQ2" s="25"/>
      <c r="RR2" s="25"/>
      <c r="RS2" s="25"/>
      <c r="RT2" s="25"/>
      <c r="RU2" s="25"/>
      <c r="RV2" s="25"/>
      <c r="RW2" s="25"/>
    </row>
    <row r="3" spans="1:491" ht="16.5" customHeight="1" thickBot="1">
      <c r="A3" s="9" t="s">
        <v>267</v>
      </c>
      <c r="B3" s="667"/>
      <c r="C3" s="27" t="s">
        <v>111</v>
      </c>
      <c r="D3" s="27" t="s">
        <v>112</v>
      </c>
      <c r="E3" s="27" t="s">
        <v>113</v>
      </c>
      <c r="F3" s="75" t="s">
        <v>114</v>
      </c>
      <c r="G3" s="27" t="s">
        <v>111</v>
      </c>
      <c r="H3" s="27" t="s">
        <v>112</v>
      </c>
      <c r="I3" s="27" t="s">
        <v>113</v>
      </c>
      <c r="J3" s="68" t="s">
        <v>114</v>
      </c>
      <c r="K3" s="76" t="s">
        <v>111</v>
      </c>
      <c r="L3" s="27" t="s">
        <v>112</v>
      </c>
      <c r="M3" s="27" t="s">
        <v>113</v>
      </c>
      <c r="N3" s="77" t="s">
        <v>164</v>
      </c>
      <c r="O3" s="27" t="s">
        <v>111</v>
      </c>
      <c r="P3" s="27" t="s">
        <v>112</v>
      </c>
      <c r="Q3" s="27" t="s">
        <v>113</v>
      </c>
      <c r="R3" s="75" t="s">
        <v>114</v>
      </c>
      <c r="S3" s="27" t="s">
        <v>111</v>
      </c>
      <c r="T3" s="27" t="s">
        <v>112</v>
      </c>
      <c r="U3" s="27" t="s">
        <v>113</v>
      </c>
      <c r="V3" s="75" t="s">
        <v>114</v>
      </c>
      <c r="W3" s="27" t="s">
        <v>111</v>
      </c>
      <c r="X3" s="27" t="s">
        <v>112</v>
      </c>
      <c r="Y3" s="27" t="s">
        <v>113</v>
      </c>
      <c r="Z3" s="75" t="s">
        <v>114</v>
      </c>
      <c r="AA3" s="415" t="s">
        <v>111</v>
      </c>
      <c r="AB3" s="27" t="s">
        <v>112</v>
      </c>
      <c r="AC3" s="27" t="s">
        <v>113</v>
      </c>
      <c r="AD3" s="75" t="s">
        <v>114</v>
      </c>
      <c r="AE3" s="415" t="s">
        <v>111</v>
      </c>
      <c r="AF3" s="27" t="s">
        <v>112</v>
      </c>
      <c r="AG3" s="27" t="s">
        <v>113</v>
      </c>
      <c r="AH3" s="75" t="s">
        <v>114</v>
      </c>
      <c r="AI3" s="415" t="s">
        <v>111</v>
      </c>
      <c r="AJ3" s="27" t="s">
        <v>112</v>
      </c>
      <c r="AK3" s="27" t="s">
        <v>113</v>
      </c>
      <c r="AL3" s="75" t="s">
        <v>114</v>
      </c>
    </row>
    <row r="4" spans="1:491" ht="16.5" customHeight="1" thickBot="1">
      <c r="A4" s="641"/>
      <c r="B4" s="667"/>
      <c r="C4" s="680" t="s">
        <v>471</v>
      </c>
      <c r="D4" s="680" t="s">
        <v>472</v>
      </c>
      <c r="E4" s="415" t="s">
        <v>473</v>
      </c>
      <c r="F4" s="679" t="s">
        <v>474</v>
      </c>
      <c r="G4" s="680" t="s">
        <v>471</v>
      </c>
      <c r="H4" s="680" t="s">
        <v>472</v>
      </c>
      <c r="I4" s="415" t="s">
        <v>473</v>
      </c>
      <c r="J4" s="679" t="s">
        <v>474</v>
      </c>
      <c r="K4" s="680" t="s">
        <v>471</v>
      </c>
      <c r="L4" s="680" t="s">
        <v>472</v>
      </c>
      <c r="M4" s="415" t="s">
        <v>473</v>
      </c>
      <c r="N4" s="679" t="s">
        <v>474</v>
      </c>
      <c r="O4" s="680" t="s">
        <v>471</v>
      </c>
      <c r="P4" s="680" t="s">
        <v>472</v>
      </c>
      <c r="Q4" s="415" t="s">
        <v>473</v>
      </c>
      <c r="R4" s="679" t="s">
        <v>474</v>
      </c>
      <c r="S4" s="680" t="s">
        <v>471</v>
      </c>
      <c r="T4" s="680" t="s">
        <v>472</v>
      </c>
      <c r="U4" s="415" t="s">
        <v>473</v>
      </c>
      <c r="V4" s="679" t="s">
        <v>474</v>
      </c>
      <c r="W4" s="680" t="s">
        <v>471</v>
      </c>
      <c r="X4" s="680" t="s">
        <v>472</v>
      </c>
      <c r="Y4" s="415" t="s">
        <v>473</v>
      </c>
      <c r="Z4" s="679" t="s">
        <v>474</v>
      </c>
      <c r="AA4" s="680" t="s">
        <v>471</v>
      </c>
      <c r="AB4" s="680" t="s">
        <v>472</v>
      </c>
      <c r="AC4" s="415" t="s">
        <v>473</v>
      </c>
      <c r="AD4" s="679" t="s">
        <v>474</v>
      </c>
      <c r="AE4" s="680" t="s">
        <v>471</v>
      </c>
      <c r="AF4" s="680" t="s">
        <v>472</v>
      </c>
      <c r="AG4" s="415" t="s">
        <v>473</v>
      </c>
      <c r="AH4" s="679" t="s">
        <v>474</v>
      </c>
      <c r="AI4" s="680" t="s">
        <v>471</v>
      </c>
      <c r="AJ4" s="680" t="s">
        <v>472</v>
      </c>
      <c r="AK4" s="415" t="s">
        <v>473</v>
      </c>
      <c r="AL4" s="679" t="s">
        <v>474</v>
      </c>
    </row>
    <row r="5" spans="1:491" s="12" customFormat="1" ht="33.75" customHeight="1" thickBot="1">
      <c r="A5" s="62" t="s">
        <v>4</v>
      </c>
      <c r="B5" s="668" t="s">
        <v>301</v>
      </c>
      <c r="C5" s="63"/>
      <c r="D5" s="63"/>
      <c r="E5" s="63"/>
      <c r="F5" s="79"/>
      <c r="G5" s="63"/>
      <c r="H5" s="63"/>
      <c r="I5" s="63"/>
      <c r="J5" s="69"/>
      <c r="K5" s="78"/>
      <c r="L5" s="64"/>
      <c r="M5" s="64"/>
      <c r="N5" s="79"/>
      <c r="O5" s="63"/>
      <c r="P5" s="63"/>
      <c r="Q5" s="64"/>
      <c r="R5" s="79"/>
      <c r="S5" s="63"/>
      <c r="T5" s="63"/>
      <c r="U5" s="63"/>
      <c r="V5" s="79"/>
      <c r="W5" s="63"/>
      <c r="X5" s="63"/>
      <c r="Y5" s="63"/>
      <c r="Z5" s="79"/>
      <c r="AA5" s="63"/>
      <c r="AB5" s="63"/>
      <c r="AC5" s="63"/>
      <c r="AD5" s="79"/>
      <c r="AE5" s="63"/>
      <c r="AF5" s="63"/>
      <c r="AG5" s="63"/>
      <c r="AH5" s="79"/>
      <c r="AI5" s="63"/>
      <c r="AJ5" s="63"/>
      <c r="AK5" s="63"/>
      <c r="AL5" s="79"/>
    </row>
    <row r="6" spans="1:491" s="12" customFormat="1" ht="20.100000000000001" customHeight="1">
      <c r="A6" s="48" t="s">
        <v>5</v>
      </c>
      <c r="B6" s="669" t="s">
        <v>302</v>
      </c>
      <c r="C6" s="32">
        <f>415.308</f>
        <v>415.30799999999999</v>
      </c>
      <c r="D6" s="32">
        <f>419.479</f>
        <v>419.47899999999998</v>
      </c>
      <c r="E6" s="59">
        <f>(425068)*0.001</f>
        <v>425.06799999999998</v>
      </c>
      <c r="F6" s="272">
        <f>(420060)*0.001</f>
        <v>420.06</v>
      </c>
      <c r="G6" s="59">
        <f>(419894)*0.001</f>
        <v>419.89400000000001</v>
      </c>
      <c r="H6" s="59">
        <f>(418521)*0.001</f>
        <v>418.52100000000002</v>
      </c>
      <c r="I6" s="59">
        <f>(409736)*0.001</f>
        <v>409.73599999999999</v>
      </c>
      <c r="J6" s="273">
        <f>(407579)*0.001</f>
        <v>407.57900000000001</v>
      </c>
      <c r="K6" s="274">
        <f>(395393)*0.001</f>
        <v>395.39300000000003</v>
      </c>
      <c r="L6" s="32">
        <v>384.8</v>
      </c>
      <c r="M6" s="32">
        <v>417</v>
      </c>
      <c r="N6" s="80">
        <v>421.1</v>
      </c>
      <c r="O6" s="32">
        <v>416.6</v>
      </c>
      <c r="P6" s="32">
        <v>401.1</v>
      </c>
      <c r="Q6" s="32">
        <v>377</v>
      </c>
      <c r="R6" s="212">
        <v>371</v>
      </c>
      <c r="S6" s="251">
        <v>356.7</v>
      </c>
      <c r="T6" s="251">
        <v>353.3</v>
      </c>
      <c r="U6" s="251">
        <v>350.4</v>
      </c>
      <c r="V6" s="212">
        <v>350.9</v>
      </c>
      <c r="W6" s="251">
        <v>342.2</v>
      </c>
      <c r="X6" s="251">
        <v>332.9</v>
      </c>
      <c r="Y6" s="251">
        <v>324</v>
      </c>
      <c r="Z6" s="212">
        <v>325.3</v>
      </c>
      <c r="AA6" s="489">
        <v>312.5</v>
      </c>
      <c r="AB6" s="489">
        <v>294.10000000000002</v>
      </c>
      <c r="AC6" s="489">
        <v>275.8</v>
      </c>
      <c r="AD6" s="212">
        <v>264.5</v>
      </c>
      <c r="AE6" s="505">
        <v>258.2</v>
      </c>
      <c r="AF6" s="505">
        <v>249.4</v>
      </c>
      <c r="AG6" s="252">
        <v>248.8</v>
      </c>
      <c r="AH6" s="212">
        <v>262.7</v>
      </c>
      <c r="AI6" s="505">
        <v>267.39999999999998</v>
      </c>
      <c r="AJ6" s="505"/>
      <c r="AK6" s="252"/>
      <c r="AL6" s="212"/>
    </row>
    <row r="7" spans="1:491" s="12" customFormat="1" ht="20.100000000000001" customHeight="1">
      <c r="A7" s="48" t="s">
        <v>6</v>
      </c>
      <c r="B7" s="669" t="s">
        <v>303</v>
      </c>
      <c r="C7" s="32">
        <f>258.7</f>
        <v>258.7</v>
      </c>
      <c r="D7" s="32">
        <f>258.506</f>
        <v>258.50599999999997</v>
      </c>
      <c r="E7" s="59">
        <f>(257043)*0.001</f>
        <v>257.04300000000001</v>
      </c>
      <c r="F7" s="272">
        <f>(276407)*0.001</f>
        <v>276.40699999999998</v>
      </c>
      <c r="G7" s="59">
        <f>(266252)*0.001</f>
        <v>266.25200000000001</v>
      </c>
      <c r="H7" s="59">
        <f>(265011)*0.001</f>
        <v>265.01100000000002</v>
      </c>
      <c r="I7" s="59">
        <f>(252063)*0.001</f>
        <v>252.06300000000002</v>
      </c>
      <c r="J7" s="273">
        <f>(251152)*0.001</f>
        <v>251.15200000000002</v>
      </c>
      <c r="K7" s="274">
        <f>(248178)*0.001</f>
        <v>248.178</v>
      </c>
      <c r="L7" s="31">
        <v>3010.6</v>
      </c>
      <c r="M7" s="31">
        <v>2933.8</v>
      </c>
      <c r="N7" s="80">
        <v>2714.9</v>
      </c>
      <c r="O7" s="32">
        <v>2855.8</v>
      </c>
      <c r="P7" s="32">
        <v>2541.1999999999998</v>
      </c>
      <c r="Q7" s="31">
        <v>2535.1999999999998</v>
      </c>
      <c r="R7" s="212">
        <v>2548.6</v>
      </c>
      <c r="S7" s="251">
        <v>3002.2</v>
      </c>
      <c r="T7" s="251">
        <v>2931</v>
      </c>
      <c r="U7" s="251">
        <v>2882.8</v>
      </c>
      <c r="V7" s="212">
        <v>2964.3</v>
      </c>
      <c r="W7" s="251">
        <v>2885.9</v>
      </c>
      <c r="X7" s="251">
        <v>2904.7</v>
      </c>
      <c r="Y7" s="251">
        <v>2866.4</v>
      </c>
      <c r="Z7" s="212">
        <v>2867.1</v>
      </c>
      <c r="AA7" s="489">
        <v>2797</v>
      </c>
      <c r="AB7" s="489">
        <v>4419.8999999999996</v>
      </c>
      <c r="AC7" s="489">
        <v>4438</v>
      </c>
      <c r="AD7" s="212">
        <v>4792.2</v>
      </c>
      <c r="AE7" s="505">
        <v>4720.3</v>
      </c>
      <c r="AF7" s="505">
        <v>4782.7</v>
      </c>
      <c r="AG7" s="252">
        <v>4797.3</v>
      </c>
      <c r="AH7" s="212">
        <v>4976.8999999999996</v>
      </c>
      <c r="AI7" s="505">
        <v>5004.3</v>
      </c>
      <c r="AJ7" s="505"/>
      <c r="AK7" s="252"/>
      <c r="AL7" s="212"/>
    </row>
    <row r="8" spans="1:491" s="12" customFormat="1" ht="20.100000000000001" customHeight="1">
      <c r="A8" s="48" t="s">
        <v>9</v>
      </c>
      <c r="B8" s="669" t="s">
        <v>304</v>
      </c>
      <c r="C8" s="32">
        <f>2422.989</f>
        <v>2422.989</v>
      </c>
      <c r="D8" s="32">
        <f>2575.456</f>
        <v>2575.4560000000001</v>
      </c>
      <c r="E8" s="32">
        <f>(2575456)*0.001</f>
        <v>2575.4560000000001</v>
      </c>
      <c r="F8" s="80">
        <f>(2568033)*0.001</f>
        <v>2568.0329999999999</v>
      </c>
      <c r="G8" s="32">
        <f>(2568033)*0.001</f>
        <v>2568.0329999999999</v>
      </c>
      <c r="H8" s="32">
        <f>(2568033)*0.001</f>
        <v>2568.0329999999999</v>
      </c>
      <c r="I8" s="32">
        <f>(2637594)*0.001</f>
        <v>2637.5940000000001</v>
      </c>
      <c r="J8" s="80">
        <f>(2602804)*0.001</f>
        <v>2602.8040000000001</v>
      </c>
      <c r="K8" s="32">
        <f>(2602804)*0.001</f>
        <v>2602.8040000000001</v>
      </c>
      <c r="L8" s="31">
        <v>11735.5</v>
      </c>
      <c r="M8" s="31">
        <v>11735.5</v>
      </c>
      <c r="N8" s="80">
        <v>10585.3</v>
      </c>
      <c r="O8" s="32">
        <v>10831.2</v>
      </c>
      <c r="P8" s="32">
        <v>10606.4</v>
      </c>
      <c r="Q8" s="31">
        <v>10606.4</v>
      </c>
      <c r="R8" s="212">
        <v>10606.4</v>
      </c>
      <c r="S8" s="251">
        <v>11675.3</v>
      </c>
      <c r="T8" s="251">
        <v>10975.2</v>
      </c>
      <c r="U8" s="251">
        <v>10975.3</v>
      </c>
      <c r="V8" s="212">
        <v>10975.4</v>
      </c>
      <c r="W8" s="251">
        <v>10975.4</v>
      </c>
      <c r="X8" s="251">
        <v>10975.4</v>
      </c>
      <c r="Y8" s="251">
        <v>10975.4</v>
      </c>
      <c r="Z8" s="212">
        <v>11041.7</v>
      </c>
      <c r="AA8" s="489">
        <v>11060.5</v>
      </c>
      <c r="AB8" s="489">
        <v>11530</v>
      </c>
      <c r="AC8" s="489">
        <v>11519.3</v>
      </c>
      <c r="AD8" s="212">
        <v>11309.4</v>
      </c>
      <c r="AE8" s="505">
        <v>11309.4</v>
      </c>
      <c r="AF8" s="505">
        <v>11316.4</v>
      </c>
      <c r="AG8" s="252">
        <v>11316.4</v>
      </c>
      <c r="AH8" s="212">
        <v>11336.4</v>
      </c>
      <c r="AI8" s="505">
        <v>11349.5</v>
      </c>
      <c r="AJ8" s="505"/>
      <c r="AK8" s="252"/>
      <c r="AL8" s="212"/>
    </row>
    <row r="9" spans="1:491" s="12" customFormat="1" ht="20.100000000000001" customHeight="1">
      <c r="A9" s="48" t="s">
        <v>155</v>
      </c>
      <c r="B9" s="670" t="s">
        <v>305</v>
      </c>
      <c r="C9" s="33">
        <f>0</f>
        <v>0</v>
      </c>
      <c r="D9" s="33">
        <v>0</v>
      </c>
      <c r="E9" s="33">
        <f>0</f>
        <v>0</v>
      </c>
      <c r="F9" s="86">
        <v>0</v>
      </c>
      <c r="G9" s="33">
        <f>0</f>
        <v>0</v>
      </c>
      <c r="H9" s="33">
        <f>0</f>
        <v>0</v>
      </c>
      <c r="I9" s="33">
        <f>0</f>
        <v>0</v>
      </c>
      <c r="J9" s="70">
        <f>0</f>
        <v>0</v>
      </c>
      <c r="K9" s="81">
        <v>0</v>
      </c>
      <c r="L9" s="31">
        <v>4482</v>
      </c>
      <c r="M9" s="31">
        <v>4331.8999999999996</v>
      </c>
      <c r="N9" s="80">
        <v>4255.8</v>
      </c>
      <c r="O9" s="35">
        <v>4002.2</v>
      </c>
      <c r="P9" s="35">
        <v>3944.6</v>
      </c>
      <c r="Q9" s="31">
        <v>3791.6</v>
      </c>
      <c r="R9" s="212">
        <v>3638.5</v>
      </c>
      <c r="S9" s="252">
        <v>3488.7</v>
      </c>
      <c r="T9" s="252">
        <v>3337.3</v>
      </c>
      <c r="U9" s="252">
        <v>3184.2</v>
      </c>
      <c r="V9" s="212">
        <v>3031.2</v>
      </c>
      <c r="W9" s="252">
        <v>2883.1</v>
      </c>
      <c r="X9" s="252">
        <v>2762.8</v>
      </c>
      <c r="Y9" s="252">
        <v>2660.5</v>
      </c>
      <c r="Z9" s="212">
        <v>2557.3000000000002</v>
      </c>
      <c r="AA9" s="489">
        <v>2458.6</v>
      </c>
      <c r="AB9" s="490">
        <v>2358.6999999999998</v>
      </c>
      <c r="AC9" s="489">
        <v>2257.6999999999998</v>
      </c>
      <c r="AD9" s="212">
        <v>2212.1999999999998</v>
      </c>
      <c r="AE9" s="505">
        <v>2111.6</v>
      </c>
      <c r="AF9" s="252">
        <v>2009.9</v>
      </c>
      <c r="AG9" s="252">
        <v>1907</v>
      </c>
      <c r="AH9" s="212">
        <v>1821.4</v>
      </c>
      <c r="AI9" s="505">
        <v>1723.5</v>
      </c>
      <c r="AJ9" s="252"/>
      <c r="AK9" s="252"/>
      <c r="AL9" s="212"/>
    </row>
    <row r="10" spans="1:491" s="12" customFormat="1" ht="20.100000000000001" customHeight="1">
      <c r="A10" s="48" t="s">
        <v>54</v>
      </c>
      <c r="B10" s="669" t="s">
        <v>306</v>
      </c>
      <c r="C10" s="32">
        <f>840</f>
        <v>840</v>
      </c>
      <c r="D10" s="59">
        <f>(840000)*0.001</f>
        <v>840</v>
      </c>
      <c r="E10" s="59">
        <f>(840000)*0.001</f>
        <v>840</v>
      </c>
      <c r="F10" s="272">
        <f>(847800)*0.001</f>
        <v>847.80000000000007</v>
      </c>
      <c r="G10" s="59">
        <f>(847800)*0.001</f>
        <v>847.80000000000007</v>
      </c>
      <c r="H10" s="59">
        <f>(847800)*0.001</f>
        <v>847.80000000000007</v>
      </c>
      <c r="I10" s="59">
        <f>(847800)*0.001</f>
        <v>847.80000000000007</v>
      </c>
      <c r="J10" s="273">
        <f>(890800)*0.001</f>
        <v>890.80000000000007</v>
      </c>
      <c r="K10" s="274">
        <f>(890800)*0.001</f>
        <v>890.80000000000007</v>
      </c>
      <c r="L10" s="36">
        <v>890.8</v>
      </c>
      <c r="M10" s="36">
        <v>890.8</v>
      </c>
      <c r="N10" s="80">
        <v>2085.9</v>
      </c>
      <c r="O10" s="32">
        <v>1783.7</v>
      </c>
      <c r="P10" s="32">
        <v>2092.6999999999998</v>
      </c>
      <c r="Q10" s="36">
        <v>2086.6</v>
      </c>
      <c r="R10" s="212">
        <v>2080.6</v>
      </c>
      <c r="S10" s="251">
        <v>2074.6</v>
      </c>
      <c r="T10" s="251">
        <v>2068.6</v>
      </c>
      <c r="U10" s="251">
        <v>2062.5</v>
      </c>
      <c r="V10" s="212">
        <v>2056.5</v>
      </c>
      <c r="W10" s="251">
        <v>2050.5</v>
      </c>
      <c r="X10" s="251">
        <v>2044.4</v>
      </c>
      <c r="Y10" s="251">
        <v>2038.4</v>
      </c>
      <c r="Z10" s="212">
        <v>2037.1</v>
      </c>
      <c r="AA10" s="489">
        <v>2031</v>
      </c>
      <c r="AB10" s="489">
        <v>2024.8</v>
      </c>
      <c r="AC10" s="489">
        <v>2019</v>
      </c>
      <c r="AD10" s="212">
        <v>2096.1</v>
      </c>
      <c r="AE10" s="505">
        <v>2087.9</v>
      </c>
      <c r="AF10" s="505">
        <v>2079.6999999999998</v>
      </c>
      <c r="AG10" s="252">
        <v>2071.4</v>
      </c>
      <c r="AH10" s="212">
        <v>2063.1999999999998</v>
      </c>
      <c r="AI10" s="505">
        <v>2054.9</v>
      </c>
      <c r="AJ10" s="505"/>
      <c r="AK10" s="252"/>
      <c r="AL10" s="212"/>
    </row>
    <row r="11" spans="1:491" s="12" customFormat="1" ht="20.100000000000001" customHeight="1">
      <c r="A11" s="48" t="s">
        <v>59</v>
      </c>
      <c r="B11" s="669" t="s">
        <v>307</v>
      </c>
      <c r="C11" s="32">
        <f>69.466</f>
        <v>69.465999999999994</v>
      </c>
      <c r="D11" s="59">
        <f>(69627)*0.001</f>
        <v>69.626999999999995</v>
      </c>
      <c r="E11" s="59">
        <f>(68459)*0.001</f>
        <v>68.459000000000003</v>
      </c>
      <c r="F11" s="272">
        <f>(81380)*0.001</f>
        <v>81.38</v>
      </c>
      <c r="G11" s="59">
        <f>(82841)*0.001</f>
        <v>82.841000000000008</v>
      </c>
      <c r="H11" s="59">
        <f>(83804)*0.001</f>
        <v>83.804000000000002</v>
      </c>
      <c r="I11" s="59">
        <f>(115337)*0.001</f>
        <v>115.337</v>
      </c>
      <c r="J11" s="273">
        <f>(137401)*0.001</f>
        <v>137.40100000000001</v>
      </c>
      <c r="K11" s="274">
        <f>(136697)*0.001</f>
        <v>136.697</v>
      </c>
      <c r="L11" s="31">
        <v>2360.6</v>
      </c>
      <c r="M11" s="31">
        <v>2624.2</v>
      </c>
      <c r="N11" s="80">
        <v>2591.4</v>
      </c>
      <c r="O11" s="32">
        <v>2527.5</v>
      </c>
      <c r="P11" s="32">
        <v>2525.8000000000002</v>
      </c>
      <c r="Q11" s="31">
        <v>2464.1999999999998</v>
      </c>
      <c r="R11" s="212">
        <v>2422.1999999999998</v>
      </c>
      <c r="S11" s="251">
        <v>2988.7</v>
      </c>
      <c r="T11" s="251">
        <v>3903</v>
      </c>
      <c r="U11" s="251">
        <v>3769.5</v>
      </c>
      <c r="V11" s="212">
        <v>3656.2</v>
      </c>
      <c r="W11" s="251">
        <v>3540.5</v>
      </c>
      <c r="X11" s="251">
        <v>3471.1</v>
      </c>
      <c r="Y11" s="251">
        <v>3343.6</v>
      </c>
      <c r="Z11" s="212">
        <v>3261.5</v>
      </c>
      <c r="AA11" s="489">
        <v>3146.4</v>
      </c>
      <c r="AB11" s="489">
        <v>3097.5</v>
      </c>
      <c r="AC11" s="489">
        <v>3015.6</v>
      </c>
      <c r="AD11" s="212">
        <v>3005.5</v>
      </c>
      <c r="AE11" s="505">
        <v>2967.8</v>
      </c>
      <c r="AF11" s="505">
        <v>2943.7</v>
      </c>
      <c r="AG11" s="252">
        <v>2911.7</v>
      </c>
      <c r="AH11" s="212">
        <v>2857.8</v>
      </c>
      <c r="AI11" s="505">
        <v>2749.9</v>
      </c>
      <c r="AJ11" s="505"/>
      <c r="AK11" s="252"/>
      <c r="AL11" s="212"/>
    </row>
    <row r="12" spans="1:491" s="12" customFormat="1" ht="20.100000000000001" customHeight="1">
      <c r="A12" s="48" t="s">
        <v>208</v>
      </c>
      <c r="B12" s="671" t="s">
        <v>308</v>
      </c>
      <c r="C12" s="32"/>
      <c r="D12" s="59"/>
      <c r="E12" s="59"/>
      <c r="F12" s="272"/>
      <c r="G12" s="59"/>
      <c r="H12" s="59"/>
      <c r="I12" s="59"/>
      <c r="J12" s="273"/>
      <c r="K12" s="274"/>
      <c r="L12" s="31"/>
      <c r="M12" s="31"/>
      <c r="N12" s="80"/>
      <c r="O12" s="32"/>
      <c r="P12" s="32"/>
      <c r="Q12" s="31"/>
      <c r="R12" s="212"/>
      <c r="S12" s="505"/>
      <c r="T12" s="505"/>
      <c r="U12" s="505"/>
      <c r="V12" s="212"/>
      <c r="W12" s="505"/>
      <c r="X12" s="505"/>
      <c r="Y12" s="505"/>
      <c r="Z12" s="212"/>
      <c r="AA12" s="505"/>
      <c r="AB12" s="505"/>
      <c r="AC12" s="505"/>
      <c r="AD12" s="212"/>
      <c r="AE12" s="505">
        <v>1482</v>
      </c>
      <c r="AF12" s="505">
        <v>1408.2</v>
      </c>
      <c r="AG12" s="252">
        <v>1340.8</v>
      </c>
      <c r="AH12" s="212">
        <v>1420.3</v>
      </c>
      <c r="AI12" s="505">
        <v>1383.8</v>
      </c>
      <c r="AJ12" s="505"/>
      <c r="AK12" s="252"/>
      <c r="AL12" s="212"/>
    </row>
    <row r="13" spans="1:491" s="12" customFormat="1" ht="20.100000000000001" customHeight="1">
      <c r="A13" s="48" t="s">
        <v>55</v>
      </c>
      <c r="B13" s="669" t="s">
        <v>309</v>
      </c>
      <c r="C13" s="32">
        <f>91.415</f>
        <v>91.415000000000006</v>
      </c>
      <c r="D13" s="59">
        <f>(95405)*0.001</f>
        <v>95.405000000000001</v>
      </c>
      <c r="E13" s="59">
        <f>(95323)*0.001</f>
        <v>95.323000000000008</v>
      </c>
      <c r="F13" s="272">
        <f>(97988)*0.001</f>
        <v>97.988</v>
      </c>
      <c r="G13" s="59">
        <f>(104074)*0.001</f>
        <v>104.074</v>
      </c>
      <c r="H13" s="59">
        <f>(115904)*0.001</f>
        <v>115.904</v>
      </c>
      <c r="I13" s="59">
        <f>(82162)*0.001</f>
        <v>82.162000000000006</v>
      </c>
      <c r="J13" s="273">
        <f>(71571)*0.001</f>
        <v>71.570999999999998</v>
      </c>
      <c r="K13" s="274">
        <f>(107548)*0.001</f>
        <v>107.548</v>
      </c>
      <c r="L13" s="36">
        <v>128.1</v>
      </c>
      <c r="M13" s="36">
        <v>148.80000000000001</v>
      </c>
      <c r="N13" s="80">
        <v>135.80000000000001</v>
      </c>
      <c r="O13" s="32">
        <v>158.69999999999999</v>
      </c>
      <c r="P13" s="32">
        <v>174.6</v>
      </c>
      <c r="Q13" s="36">
        <v>109</v>
      </c>
      <c r="R13" s="212">
        <v>145</v>
      </c>
      <c r="S13" s="251">
        <v>129.80000000000001</v>
      </c>
      <c r="T13" s="251">
        <v>156.19999999999999</v>
      </c>
      <c r="U13" s="251">
        <v>125.6</v>
      </c>
      <c r="V13" s="212">
        <v>151.80000000000001</v>
      </c>
      <c r="W13" s="251">
        <v>150</v>
      </c>
      <c r="X13" s="251">
        <v>167.3</v>
      </c>
      <c r="Y13" s="251">
        <v>180.5</v>
      </c>
      <c r="Z13" s="212">
        <v>170.1</v>
      </c>
      <c r="AA13" s="489">
        <v>170.1</v>
      </c>
      <c r="AB13" s="489">
        <v>211.1</v>
      </c>
      <c r="AC13" s="489">
        <v>584.29999999999995</v>
      </c>
      <c r="AD13" s="212">
        <v>503.8</v>
      </c>
      <c r="AE13" s="505">
        <v>474</v>
      </c>
      <c r="AF13" s="505">
        <v>517.5</v>
      </c>
      <c r="AG13" s="252">
        <v>445.4</v>
      </c>
      <c r="AH13" s="212">
        <v>402.6</v>
      </c>
      <c r="AI13" s="505">
        <v>330.4</v>
      </c>
      <c r="AJ13" s="505"/>
      <c r="AK13" s="252"/>
      <c r="AL13" s="212"/>
    </row>
    <row r="14" spans="1:491" s="12" customFormat="1" ht="20.100000000000001" customHeight="1">
      <c r="A14" s="48" t="s">
        <v>7</v>
      </c>
      <c r="B14" s="669" t="s">
        <v>310</v>
      </c>
      <c r="C14" s="32">
        <f>8.419</f>
        <v>8.4190000000000005</v>
      </c>
      <c r="D14" s="59">
        <f>(8398)*0.001</f>
        <v>8.3979999999999997</v>
      </c>
      <c r="E14" s="59">
        <f>(8378)*0.001</f>
        <v>8.3780000000000001</v>
      </c>
      <c r="F14" s="272">
        <f>(8357)*0.001</f>
        <v>8.3569999999999993</v>
      </c>
      <c r="G14" s="59">
        <f>(8336)*0.001</f>
        <v>8.3360000000000003</v>
      </c>
      <c r="H14" s="59">
        <f>(7788)*0.001</f>
        <v>7.7880000000000003</v>
      </c>
      <c r="I14" s="59">
        <f>(7427)*0.001</f>
        <v>7.4270000000000005</v>
      </c>
      <c r="J14" s="273">
        <f>(5330)*0.001</f>
        <v>5.33</v>
      </c>
      <c r="K14" s="274">
        <f>(5315)*0.001</f>
        <v>5.3150000000000004</v>
      </c>
      <c r="L14" s="36">
        <v>5.3</v>
      </c>
      <c r="M14" s="36">
        <v>5.3</v>
      </c>
      <c r="N14" s="80">
        <v>5.3</v>
      </c>
      <c r="O14" s="32">
        <v>5.2</v>
      </c>
      <c r="P14" s="32">
        <v>5.2</v>
      </c>
      <c r="Q14" s="36">
        <v>5.2</v>
      </c>
      <c r="R14" s="212">
        <v>5.2</v>
      </c>
      <c r="S14" s="251">
        <v>5.2</v>
      </c>
      <c r="T14" s="251">
        <v>5.2</v>
      </c>
      <c r="U14" s="251">
        <v>5.2</v>
      </c>
      <c r="V14" s="212">
        <v>5.0999999999999996</v>
      </c>
      <c r="W14" s="251">
        <v>5.0999999999999996</v>
      </c>
      <c r="X14" s="251">
        <v>5.0999999999999996</v>
      </c>
      <c r="Y14" s="251">
        <v>5.0999999999999996</v>
      </c>
      <c r="Z14" s="212">
        <v>5.0999999999999996</v>
      </c>
      <c r="AA14" s="489">
        <v>5.0999999999999996</v>
      </c>
      <c r="AB14" s="489">
        <v>30</v>
      </c>
      <c r="AC14" s="489">
        <v>29.9</v>
      </c>
      <c r="AD14" s="212">
        <v>29.9</v>
      </c>
      <c r="AE14" s="505">
        <v>29.7</v>
      </c>
      <c r="AF14" s="505">
        <v>29.6</v>
      </c>
      <c r="AG14" s="505">
        <v>29.5</v>
      </c>
      <c r="AH14" s="212">
        <v>29.4</v>
      </c>
      <c r="AI14" s="505">
        <v>29.3</v>
      </c>
      <c r="AJ14" s="505"/>
      <c r="AK14" s="505"/>
      <c r="AL14" s="212"/>
    </row>
    <row r="15" spans="1:491" s="12" customFormat="1" ht="20.100000000000001" customHeight="1">
      <c r="A15" s="48" t="s">
        <v>156</v>
      </c>
      <c r="B15" s="669" t="s">
        <v>311</v>
      </c>
      <c r="C15" s="300">
        <v>0</v>
      </c>
      <c r="D15" s="278">
        <f>(33259)*0.001</f>
        <v>33.259</v>
      </c>
      <c r="E15" s="278">
        <f>(33252)*0.001</f>
        <v>33.252000000000002</v>
      </c>
      <c r="F15" s="279">
        <f>(35125)*0.001</f>
        <v>35.125</v>
      </c>
      <c r="G15" s="278">
        <f>(34399)*0.001</f>
        <v>34.399000000000001</v>
      </c>
      <c r="H15" s="278">
        <f>(32935)*0.001</f>
        <v>32.935000000000002</v>
      </c>
      <c r="I15" s="278">
        <f>(29318)*0.001</f>
        <v>29.318000000000001</v>
      </c>
      <c r="J15" s="280">
        <f>(29551)*0.001</f>
        <v>29.551000000000002</v>
      </c>
      <c r="K15" s="281">
        <f>(26502)*0.001</f>
        <v>26.501999999999999</v>
      </c>
      <c r="L15" s="36">
        <v>46.2</v>
      </c>
      <c r="M15" s="36">
        <v>67</v>
      </c>
      <c r="N15" s="80">
        <v>81</v>
      </c>
      <c r="O15" s="32">
        <v>84.1</v>
      </c>
      <c r="P15" s="32">
        <v>82.3</v>
      </c>
      <c r="Q15" s="36">
        <v>81.2</v>
      </c>
      <c r="R15" s="212">
        <v>83.3</v>
      </c>
      <c r="S15" s="251">
        <v>81.099999999999994</v>
      </c>
      <c r="T15" s="251">
        <v>79.7</v>
      </c>
      <c r="U15" s="251">
        <v>80.400000000000006</v>
      </c>
      <c r="V15" s="212">
        <v>82.8</v>
      </c>
      <c r="W15" s="251">
        <v>83.8</v>
      </c>
      <c r="X15" s="251">
        <v>82.9</v>
      </c>
      <c r="Y15" s="251">
        <v>85.8</v>
      </c>
      <c r="Z15" s="212">
        <v>91.4</v>
      </c>
      <c r="AA15" s="489">
        <v>90.4</v>
      </c>
      <c r="AB15" s="489">
        <v>93</v>
      </c>
      <c r="AC15" s="489">
        <v>94.8</v>
      </c>
      <c r="AD15" s="212">
        <v>99.7</v>
      </c>
      <c r="AE15" s="505">
        <v>97.9</v>
      </c>
      <c r="AF15" s="505">
        <v>93.9</v>
      </c>
      <c r="AG15" s="505">
        <v>98.1</v>
      </c>
      <c r="AH15" s="212">
        <v>100.5</v>
      </c>
      <c r="AI15" s="505">
        <v>96</v>
      </c>
      <c r="AJ15" s="505"/>
      <c r="AK15" s="505"/>
      <c r="AL15" s="212"/>
    </row>
    <row r="16" spans="1:491" s="12" customFormat="1" ht="20.100000000000001" customHeight="1">
      <c r="A16" s="48" t="s">
        <v>151</v>
      </c>
      <c r="B16" s="672" t="s">
        <v>312</v>
      </c>
      <c r="C16" s="41">
        <v>0</v>
      </c>
      <c r="D16" s="41">
        <v>0</v>
      </c>
      <c r="E16" s="41">
        <v>0</v>
      </c>
      <c r="F16" s="301">
        <v>0</v>
      </c>
      <c r="G16" s="41">
        <v>0</v>
      </c>
      <c r="H16" s="41">
        <v>0</v>
      </c>
      <c r="I16" s="41">
        <v>0</v>
      </c>
      <c r="J16" s="301">
        <v>0</v>
      </c>
      <c r="K16" s="41">
        <v>0</v>
      </c>
      <c r="L16" s="41">
        <v>0</v>
      </c>
      <c r="M16" s="41">
        <v>0</v>
      </c>
      <c r="N16" s="301">
        <v>0</v>
      </c>
      <c r="O16" s="41">
        <v>0</v>
      </c>
      <c r="P16" s="41">
        <v>0</v>
      </c>
      <c r="Q16" s="41">
        <v>0</v>
      </c>
      <c r="R16" s="301">
        <v>0</v>
      </c>
      <c r="S16" s="251">
        <v>180.5</v>
      </c>
      <c r="T16" s="251">
        <v>0</v>
      </c>
      <c r="U16" s="251">
        <v>0</v>
      </c>
      <c r="V16" s="212">
        <v>0</v>
      </c>
      <c r="W16" s="251">
        <v>0</v>
      </c>
      <c r="X16" s="251">
        <v>0</v>
      </c>
      <c r="Y16" s="251">
        <v>0</v>
      </c>
      <c r="Z16" s="212">
        <v>0</v>
      </c>
      <c r="AA16" s="489">
        <v>0</v>
      </c>
      <c r="AB16" s="489">
        <v>0</v>
      </c>
      <c r="AC16" s="505">
        <v>0</v>
      </c>
      <c r="AD16" s="212">
        <v>0</v>
      </c>
      <c r="AE16" s="505">
        <v>0</v>
      </c>
      <c r="AF16" s="505">
        <v>0</v>
      </c>
      <c r="AG16" s="505">
        <v>0</v>
      </c>
      <c r="AH16" s="212">
        <v>0</v>
      </c>
      <c r="AI16" s="505">
        <v>0</v>
      </c>
      <c r="AJ16" s="505">
        <v>0</v>
      </c>
      <c r="AK16" s="505">
        <v>0</v>
      </c>
      <c r="AL16" s="212">
        <v>0</v>
      </c>
    </row>
    <row r="17" spans="1:38" s="12" customFormat="1" ht="20.100000000000001" customHeight="1">
      <c r="A17" s="48" t="s">
        <v>231</v>
      </c>
      <c r="B17" s="672" t="s">
        <v>313</v>
      </c>
      <c r="C17" s="41"/>
      <c r="D17" s="41"/>
      <c r="E17" s="41"/>
      <c r="F17" s="301"/>
      <c r="G17" s="41"/>
      <c r="H17" s="41"/>
      <c r="I17" s="41"/>
      <c r="J17" s="619"/>
      <c r="K17" s="41"/>
      <c r="L17" s="41"/>
      <c r="M17" s="41"/>
      <c r="N17" s="301"/>
      <c r="O17" s="41"/>
      <c r="P17" s="41"/>
      <c r="Q17" s="41"/>
      <c r="R17" s="301"/>
      <c r="S17" s="505"/>
      <c r="T17" s="505"/>
      <c r="U17" s="505"/>
      <c r="V17" s="212"/>
      <c r="W17" s="505"/>
      <c r="X17" s="505"/>
      <c r="Y17" s="505"/>
      <c r="Z17" s="212"/>
      <c r="AA17" s="505"/>
      <c r="AB17" s="505"/>
      <c r="AC17" s="505"/>
      <c r="AD17" s="212">
        <v>616.9</v>
      </c>
      <c r="AE17" s="505"/>
      <c r="AF17" s="505"/>
      <c r="AG17" s="505"/>
      <c r="AH17" s="212">
        <v>776.5</v>
      </c>
      <c r="AI17" s="505">
        <v>749.5</v>
      </c>
      <c r="AJ17" s="505"/>
      <c r="AK17" s="505"/>
      <c r="AL17" s="212"/>
    </row>
    <row r="18" spans="1:38" s="12" customFormat="1" ht="20.100000000000001" customHeight="1">
      <c r="A18" s="48" t="s">
        <v>232</v>
      </c>
      <c r="B18" s="672" t="s">
        <v>314</v>
      </c>
      <c r="C18" s="32">
        <f>92.159</f>
        <v>92.159000000000006</v>
      </c>
      <c r="D18" s="59">
        <f>(84770)*0.001</f>
        <v>84.77</v>
      </c>
      <c r="E18" s="59">
        <f>(116704)*0.001</f>
        <v>116.70400000000001</v>
      </c>
      <c r="F18" s="272">
        <f>(109642)*0.001</f>
        <v>109.642</v>
      </c>
      <c r="G18" s="59">
        <f>(62960)*0.001</f>
        <v>62.96</v>
      </c>
      <c r="H18" s="59">
        <f>(61422)*0.001</f>
        <v>61.422000000000004</v>
      </c>
      <c r="I18" s="59">
        <f>(27107)*0.001</f>
        <v>27.106999999999999</v>
      </c>
      <c r="J18" s="273">
        <f>(20803)*0.001</f>
        <v>20.803000000000001</v>
      </c>
      <c r="K18" s="274">
        <f>(6430)*0.001</f>
        <v>6.43</v>
      </c>
      <c r="L18" s="36">
        <v>107.4</v>
      </c>
      <c r="M18" s="36">
        <v>141.4</v>
      </c>
      <c r="N18" s="80">
        <v>198.5</v>
      </c>
      <c r="O18" s="32">
        <v>238</v>
      </c>
      <c r="P18" s="32">
        <v>232.8</v>
      </c>
      <c r="Q18" s="36">
        <v>232.7</v>
      </c>
      <c r="R18" s="212">
        <v>272.8</v>
      </c>
      <c r="S18" s="251">
        <v>295.39999999999998</v>
      </c>
      <c r="T18" s="251">
        <v>331.8</v>
      </c>
      <c r="U18" s="251">
        <v>373.3</v>
      </c>
      <c r="V18" s="212">
        <v>452</v>
      </c>
      <c r="W18" s="251">
        <v>476.3</v>
      </c>
      <c r="X18" s="251">
        <v>508.1</v>
      </c>
      <c r="Y18" s="251">
        <v>544.20000000000005</v>
      </c>
      <c r="Z18" s="212">
        <v>1270.7</v>
      </c>
      <c r="AA18" s="489">
        <v>1280.5999999999999</v>
      </c>
      <c r="AB18" s="489">
        <v>649.29999999999995</v>
      </c>
      <c r="AC18" s="489">
        <v>647.9</v>
      </c>
      <c r="AD18" s="212">
        <v>84.2</v>
      </c>
      <c r="AE18" s="505">
        <v>714.5</v>
      </c>
      <c r="AF18" s="505">
        <v>781.6</v>
      </c>
      <c r="AG18" s="505">
        <v>830.6</v>
      </c>
      <c r="AH18" s="212">
        <v>1315.8</v>
      </c>
      <c r="AI18" s="505">
        <v>1337.2</v>
      </c>
      <c r="AJ18" s="505"/>
      <c r="AK18" s="505"/>
      <c r="AL18" s="212"/>
    </row>
    <row r="19" spans="1:38" s="361" customFormat="1" ht="25.5">
      <c r="A19" s="391" t="s">
        <v>182</v>
      </c>
      <c r="B19" s="673" t="s">
        <v>315</v>
      </c>
      <c r="C19" s="392"/>
      <c r="D19" s="392"/>
      <c r="E19" s="392"/>
      <c r="F19" s="96"/>
      <c r="G19" s="392"/>
      <c r="H19" s="392"/>
      <c r="I19" s="392"/>
      <c r="J19" s="96"/>
      <c r="K19" s="392"/>
      <c r="L19" s="392"/>
      <c r="M19" s="392"/>
      <c r="N19" s="96"/>
      <c r="O19" s="392"/>
      <c r="P19" s="392"/>
      <c r="Q19" s="392"/>
      <c r="R19" s="96"/>
      <c r="S19" s="392"/>
      <c r="T19" s="392"/>
      <c r="U19" s="392"/>
      <c r="V19" s="213">
        <v>0</v>
      </c>
      <c r="W19" s="392"/>
      <c r="X19" s="392"/>
      <c r="Y19" s="392"/>
      <c r="Z19" s="213">
        <v>665.2</v>
      </c>
      <c r="AA19" s="491">
        <v>681.2</v>
      </c>
      <c r="AB19" s="491">
        <v>40.4</v>
      </c>
      <c r="AC19" s="506">
        <v>36.9</v>
      </c>
      <c r="AD19" s="213">
        <v>43</v>
      </c>
      <c r="AE19" s="506">
        <v>41.3</v>
      </c>
      <c r="AF19" s="392">
        <v>67.5</v>
      </c>
      <c r="AG19" s="506">
        <v>66.2</v>
      </c>
      <c r="AH19" s="212">
        <v>1282.4000000000001</v>
      </c>
      <c r="AI19" s="506">
        <v>1306.0999999999999</v>
      </c>
      <c r="AJ19" s="392"/>
      <c r="AK19" s="506"/>
      <c r="AL19" s="212"/>
    </row>
    <row r="20" spans="1:38" s="28" customFormat="1" ht="20.100000000000001" customHeight="1">
      <c r="A20" s="53" t="s">
        <v>91</v>
      </c>
      <c r="B20" s="674" t="s">
        <v>316</v>
      </c>
      <c r="C20" s="38">
        <v>0</v>
      </c>
      <c r="D20" s="38">
        <v>0</v>
      </c>
      <c r="E20" s="38">
        <v>0</v>
      </c>
      <c r="F20" s="96">
        <v>0</v>
      </c>
      <c r="G20" s="38">
        <v>0</v>
      </c>
      <c r="H20" s="38">
        <v>0</v>
      </c>
      <c r="I20" s="38">
        <v>0</v>
      </c>
      <c r="J20" s="71">
        <v>0</v>
      </c>
      <c r="K20" s="82">
        <v>0</v>
      </c>
      <c r="L20" s="38">
        <v>0</v>
      </c>
      <c r="M20" s="38">
        <v>0</v>
      </c>
      <c r="N20" s="83">
        <v>1.2</v>
      </c>
      <c r="O20" s="38">
        <v>0</v>
      </c>
      <c r="P20" s="38">
        <v>0</v>
      </c>
      <c r="Q20" s="38">
        <v>0</v>
      </c>
      <c r="R20" s="213">
        <v>6.9</v>
      </c>
      <c r="S20" s="253">
        <v>0.6</v>
      </c>
      <c r="T20" s="253">
        <v>0</v>
      </c>
      <c r="U20" s="253">
        <v>3.5</v>
      </c>
      <c r="V20" s="213">
        <v>9.5</v>
      </c>
      <c r="W20" s="253">
        <v>7.8</v>
      </c>
      <c r="X20" s="253">
        <v>4.9000000000000004</v>
      </c>
      <c r="Y20" s="253">
        <v>2.5</v>
      </c>
      <c r="Z20" s="213">
        <v>1.9</v>
      </c>
      <c r="AA20" s="491">
        <v>0.1</v>
      </c>
      <c r="AB20" s="491">
        <v>1.4</v>
      </c>
      <c r="AC20" s="506">
        <v>2.7</v>
      </c>
      <c r="AD20" s="213">
        <v>0</v>
      </c>
      <c r="AE20" s="506">
        <v>0</v>
      </c>
      <c r="AF20" s="506">
        <v>0</v>
      </c>
      <c r="AG20" s="506">
        <v>0.2</v>
      </c>
      <c r="AH20" s="212">
        <v>1.2</v>
      </c>
      <c r="AI20" s="506">
        <v>0</v>
      </c>
      <c r="AJ20" s="506">
        <v>0</v>
      </c>
      <c r="AK20" s="506"/>
      <c r="AL20" s="212"/>
    </row>
    <row r="21" spans="1:38" s="12" customFormat="1" ht="20.100000000000001" customHeight="1" thickBot="1">
      <c r="A21" s="49" t="s">
        <v>8</v>
      </c>
      <c r="B21" s="669" t="s">
        <v>317</v>
      </c>
      <c r="C21" s="40">
        <f>30.5</f>
        <v>30.5</v>
      </c>
      <c r="D21" s="59">
        <f>(40245)*0.001</f>
        <v>40.244999999999997</v>
      </c>
      <c r="E21" s="59">
        <f>(37018)*0.001</f>
        <v>37.018000000000001</v>
      </c>
      <c r="F21" s="272">
        <f>(31356)*0.001</f>
        <v>31.356000000000002</v>
      </c>
      <c r="G21" s="59">
        <f>(30260)*0.001</f>
        <v>30.26</v>
      </c>
      <c r="H21" s="59">
        <f>(27326)*0.001</f>
        <v>27.326000000000001</v>
      </c>
      <c r="I21" s="59">
        <f>(27552)*0.001</f>
        <v>27.552</v>
      </c>
      <c r="J21" s="273">
        <f>(38854)*0.001</f>
        <v>38.853999999999999</v>
      </c>
      <c r="K21" s="274">
        <f>(34685)*0.001</f>
        <v>34.685000000000002</v>
      </c>
      <c r="L21" s="39">
        <v>240.5</v>
      </c>
      <c r="M21" s="39">
        <v>285.7</v>
      </c>
      <c r="N21" s="84">
        <v>281.10000000000002</v>
      </c>
      <c r="O21" s="40">
        <v>229</v>
      </c>
      <c r="P21" s="40">
        <v>260.89999999999998</v>
      </c>
      <c r="Q21" s="39">
        <v>107.2</v>
      </c>
      <c r="R21" s="212">
        <v>87.6</v>
      </c>
      <c r="S21" s="254">
        <v>211.3</v>
      </c>
      <c r="T21" s="254">
        <v>236.5</v>
      </c>
      <c r="U21" s="254">
        <v>238.4</v>
      </c>
      <c r="V21" s="212">
        <v>232.7</v>
      </c>
      <c r="W21" s="251">
        <v>249.3</v>
      </c>
      <c r="X21" s="254">
        <v>199.9</v>
      </c>
      <c r="Y21" s="254">
        <v>192.1</v>
      </c>
      <c r="Z21" s="212">
        <v>197.2</v>
      </c>
      <c r="AA21" s="489">
        <v>178.4</v>
      </c>
      <c r="AB21" s="492">
        <v>216</v>
      </c>
      <c r="AC21" s="489">
        <v>213</v>
      </c>
      <c r="AD21" s="212">
        <v>259.7</v>
      </c>
      <c r="AE21" s="505">
        <v>258.2</v>
      </c>
      <c r="AF21" s="492">
        <v>260.5</v>
      </c>
      <c r="AG21" s="505">
        <v>267.3</v>
      </c>
      <c r="AH21" s="212">
        <v>241.2</v>
      </c>
      <c r="AI21" s="505">
        <v>243.2</v>
      </c>
      <c r="AJ21" s="492"/>
      <c r="AK21" s="505"/>
      <c r="AL21" s="212"/>
    </row>
    <row r="22" spans="1:38" s="15" customFormat="1" ht="24.95" customHeight="1" thickBot="1">
      <c r="A22" s="13" t="s">
        <v>10</v>
      </c>
      <c r="B22" s="675" t="s">
        <v>318</v>
      </c>
      <c r="C22" s="52">
        <f t="shared" ref="C22:K22" si="0">(SUM(C6:C21))</f>
        <v>4228.9560000000001</v>
      </c>
      <c r="D22" s="52">
        <f t="shared" si="0"/>
        <v>4425.1450000000004</v>
      </c>
      <c r="E22" s="52">
        <f t="shared" si="0"/>
        <v>4456.701</v>
      </c>
      <c r="F22" s="74">
        <f t="shared" si="0"/>
        <v>4476.1480000000001</v>
      </c>
      <c r="G22" s="52">
        <f t="shared" si="0"/>
        <v>4424.8490000000011</v>
      </c>
      <c r="H22" s="52">
        <f t="shared" si="0"/>
        <v>4428.5439999999999</v>
      </c>
      <c r="I22" s="52">
        <f t="shared" si="0"/>
        <v>4436.0960000000005</v>
      </c>
      <c r="J22" s="52">
        <f t="shared" si="0"/>
        <v>4455.8450000000003</v>
      </c>
      <c r="K22" s="275">
        <f t="shared" si="0"/>
        <v>4454.3520000000008</v>
      </c>
      <c r="L22" s="51">
        <f>SUM(L6:L21)</f>
        <v>23391.8</v>
      </c>
      <c r="M22" s="51">
        <f>SUM(M6:M21)</f>
        <v>23581.399999999998</v>
      </c>
      <c r="N22" s="74">
        <f t="shared" ref="N22:Y22" si="1">(SUM(N6:N21))-N20</f>
        <v>23356.1</v>
      </c>
      <c r="O22" s="52">
        <f t="shared" si="1"/>
        <v>23132</v>
      </c>
      <c r="P22" s="52">
        <f t="shared" si="1"/>
        <v>22867.599999999999</v>
      </c>
      <c r="Q22" s="52">
        <f t="shared" si="1"/>
        <v>22396.3</v>
      </c>
      <c r="R22" s="214">
        <f t="shared" si="1"/>
        <v>22261.199999999997</v>
      </c>
      <c r="S22" s="255">
        <f t="shared" si="1"/>
        <v>24489.499999999996</v>
      </c>
      <c r="T22" s="255">
        <f t="shared" si="1"/>
        <v>24377.8</v>
      </c>
      <c r="U22" s="255">
        <f t="shared" si="1"/>
        <v>24047.600000000002</v>
      </c>
      <c r="V22" s="214">
        <f t="shared" si="1"/>
        <v>23958.899999999998</v>
      </c>
      <c r="W22" s="255">
        <f t="shared" si="1"/>
        <v>23642.099999999995</v>
      </c>
      <c r="X22" s="255">
        <f t="shared" si="1"/>
        <v>23454.6</v>
      </c>
      <c r="Y22" s="255">
        <f t="shared" si="1"/>
        <v>23215.999999999996</v>
      </c>
      <c r="Z22" s="214">
        <f>(SUM(Z6:Z21))-Z20-Z19</f>
        <v>23824.5</v>
      </c>
      <c r="AA22" s="255">
        <f>SUM(AA6:AA18,AA21)</f>
        <v>23530.6</v>
      </c>
      <c r="AB22" s="255">
        <f>SUM(AB6:AB18,AB21)</f>
        <v>24924.399999999998</v>
      </c>
      <c r="AC22" s="507">
        <f>SUM(AC6:AC18,AC21)</f>
        <v>25095.3</v>
      </c>
      <c r="AD22" s="214">
        <f>(SUM(AD6:AD21))-AD20-AD19</f>
        <v>25274.100000000002</v>
      </c>
      <c r="AE22" s="507">
        <f>SUM(AE6:AE18,AE21)</f>
        <v>26511.500000000004</v>
      </c>
      <c r="AF22" s="507">
        <f>SUM(AF6:AF18,AF21)</f>
        <v>26473.100000000002</v>
      </c>
      <c r="AG22" s="507">
        <f>SUM(AG6:AG18,AG21)</f>
        <v>26264.3</v>
      </c>
      <c r="AH22" s="214">
        <f>(SUM(AH6:AH21))-AH20-AH19</f>
        <v>27604.7</v>
      </c>
      <c r="AI22" s="507">
        <f>SUM(AI6:AI18,AI21)</f>
        <v>27318.900000000005</v>
      </c>
      <c r="AJ22" s="507">
        <f>SUM(AJ6:AJ18,AJ21)</f>
        <v>0</v>
      </c>
      <c r="AK22" s="507">
        <f>SUM(AK6:AK18,AK21)</f>
        <v>0</v>
      </c>
      <c r="AL22" s="214">
        <f>(SUM(AL6:AL21))-AL20-AL19</f>
        <v>0</v>
      </c>
    </row>
    <row r="23" spans="1:38" s="15" customFormat="1" ht="20.100000000000001" customHeight="1">
      <c r="A23" s="47" t="s">
        <v>56</v>
      </c>
      <c r="B23" s="669" t="s">
        <v>319</v>
      </c>
      <c r="C23" s="30">
        <f>176.114</f>
        <v>176.114</v>
      </c>
      <c r="D23" s="59">
        <f>(167251)*0.001</f>
        <v>167.251</v>
      </c>
      <c r="E23" s="59">
        <f>(171461)*0.001</f>
        <v>171.46100000000001</v>
      </c>
      <c r="F23" s="272">
        <f>(141652)*0.001</f>
        <v>141.65200000000002</v>
      </c>
      <c r="G23" s="59">
        <f>(155399)*0.001</f>
        <v>155.399</v>
      </c>
      <c r="H23" s="59">
        <f>(170743)*0.001</f>
        <v>170.74299999999999</v>
      </c>
      <c r="I23" s="59">
        <f>(208533)*0.001</f>
        <v>208.53300000000002</v>
      </c>
      <c r="J23" s="273">
        <f>(181341)*0.001</f>
        <v>181.34100000000001</v>
      </c>
      <c r="K23" s="274">
        <f>(228936)*0.001</f>
        <v>228.93600000000001</v>
      </c>
      <c r="L23" s="54">
        <v>199.1</v>
      </c>
      <c r="M23" s="54">
        <v>172.6</v>
      </c>
      <c r="N23" s="85">
        <v>152.1</v>
      </c>
      <c r="O23" s="30">
        <v>163.1</v>
      </c>
      <c r="P23" s="30">
        <v>170.4</v>
      </c>
      <c r="Q23" s="54">
        <v>255.6</v>
      </c>
      <c r="R23" s="212">
        <v>192.2</v>
      </c>
      <c r="S23" s="256">
        <v>234.7</v>
      </c>
      <c r="T23" s="256">
        <v>163.5</v>
      </c>
      <c r="U23" s="256">
        <v>219.1</v>
      </c>
      <c r="V23" s="212">
        <v>192</v>
      </c>
      <c r="W23" s="256">
        <v>179.8</v>
      </c>
      <c r="X23" s="256">
        <v>214.3</v>
      </c>
      <c r="Y23" s="256">
        <v>243.6</v>
      </c>
      <c r="Z23" s="212">
        <v>251.7</v>
      </c>
      <c r="AA23" s="496">
        <v>256.60000000000002</v>
      </c>
      <c r="AB23" s="496">
        <v>353.2</v>
      </c>
      <c r="AC23" s="496">
        <v>544.5</v>
      </c>
      <c r="AD23" s="212">
        <v>543.20000000000005</v>
      </c>
      <c r="AE23" s="498">
        <v>539.79999999999995</v>
      </c>
      <c r="AF23" s="498">
        <v>538.9</v>
      </c>
      <c r="AG23" s="505">
        <v>552.6</v>
      </c>
      <c r="AH23" s="212">
        <v>512.29999999999995</v>
      </c>
      <c r="AI23" s="498">
        <v>535.20000000000005</v>
      </c>
      <c r="AJ23" s="498"/>
      <c r="AK23" s="505"/>
      <c r="AL23" s="212"/>
    </row>
    <row r="24" spans="1:38" s="15" customFormat="1" ht="20.100000000000001" customHeight="1">
      <c r="A24" s="48" t="s">
        <v>188</v>
      </c>
      <c r="B24" s="669" t="s">
        <v>320</v>
      </c>
      <c r="C24" s="32"/>
      <c r="D24" s="59"/>
      <c r="E24" s="59"/>
      <c r="F24" s="272"/>
      <c r="G24" s="59"/>
      <c r="H24" s="59"/>
      <c r="I24" s="59"/>
      <c r="J24" s="273"/>
      <c r="K24" s="274"/>
      <c r="L24" s="36"/>
      <c r="M24" s="36"/>
      <c r="N24" s="80"/>
      <c r="O24" s="32"/>
      <c r="P24" s="32"/>
      <c r="Q24" s="36"/>
      <c r="R24" s="212"/>
      <c r="S24" s="251"/>
      <c r="T24" s="251"/>
      <c r="U24" s="251"/>
      <c r="V24" s="212"/>
      <c r="W24" s="251"/>
      <c r="X24" s="251"/>
      <c r="Y24" s="251"/>
      <c r="Z24" s="212"/>
      <c r="AA24" s="493">
        <v>680.8</v>
      </c>
      <c r="AB24" s="493">
        <v>681.5</v>
      </c>
      <c r="AC24" s="493">
        <v>655.20000000000005</v>
      </c>
      <c r="AD24" s="212">
        <v>648.4</v>
      </c>
      <c r="AE24" s="505">
        <v>657.6</v>
      </c>
      <c r="AF24" s="505">
        <v>651.70000000000005</v>
      </c>
      <c r="AG24" s="505">
        <v>639.20000000000005</v>
      </c>
      <c r="AH24" s="212">
        <v>638.70000000000005</v>
      </c>
      <c r="AI24" s="505">
        <v>628.1</v>
      </c>
      <c r="AJ24" s="505"/>
      <c r="AK24" s="505"/>
      <c r="AL24" s="212"/>
    </row>
    <row r="25" spans="1:38" s="12" customFormat="1" ht="20.100000000000001" customHeight="1">
      <c r="A25" s="48" t="s">
        <v>11</v>
      </c>
      <c r="B25" s="669" t="s">
        <v>321</v>
      </c>
      <c r="C25" s="32">
        <f>185.376</f>
        <v>185.376</v>
      </c>
      <c r="D25" s="59">
        <f>(185528)*0.001</f>
        <v>185.52799999999999</v>
      </c>
      <c r="E25" s="59">
        <f>(177054)*0.001</f>
        <v>177.054</v>
      </c>
      <c r="F25" s="272">
        <f>(161974)*0.001</f>
        <v>161.97399999999999</v>
      </c>
      <c r="G25" s="59">
        <f>(150701)*0.001</f>
        <v>150.70099999999999</v>
      </c>
      <c r="H25" s="59">
        <f>(157445)*0.001</f>
        <v>157.44499999999999</v>
      </c>
      <c r="I25" s="59">
        <f>(155698)*0.001</f>
        <v>155.69800000000001</v>
      </c>
      <c r="J25" s="273">
        <f>(146771)*0.001</f>
        <v>146.77100000000002</v>
      </c>
      <c r="K25" s="274">
        <f>(163072)*0.001</f>
        <v>163.072</v>
      </c>
      <c r="L25" s="31">
        <v>343.8</v>
      </c>
      <c r="M25" s="31">
        <v>316.60000000000002</v>
      </c>
      <c r="N25" s="80">
        <v>301.39999999999998</v>
      </c>
      <c r="O25" s="32">
        <v>252.9</v>
      </c>
      <c r="P25" s="32">
        <v>261.7</v>
      </c>
      <c r="Q25" s="31">
        <v>264.10000000000002</v>
      </c>
      <c r="R25" s="212">
        <v>281</v>
      </c>
      <c r="S25" s="251">
        <v>260.2</v>
      </c>
      <c r="T25" s="251">
        <v>270</v>
      </c>
      <c r="U25" s="251">
        <v>281</v>
      </c>
      <c r="V25" s="212">
        <v>278.7</v>
      </c>
      <c r="W25" s="251">
        <v>237.2</v>
      </c>
      <c r="X25" s="251">
        <v>279</v>
      </c>
      <c r="Y25" s="251">
        <v>295.60000000000002</v>
      </c>
      <c r="Z25" s="212">
        <v>283.7</v>
      </c>
      <c r="AA25" s="494">
        <v>305.3</v>
      </c>
      <c r="AB25" s="493">
        <v>362.1</v>
      </c>
      <c r="AC25" s="493">
        <v>387.6</v>
      </c>
      <c r="AD25" s="212">
        <v>394</v>
      </c>
      <c r="AE25" s="494">
        <v>333.7</v>
      </c>
      <c r="AF25" s="505">
        <v>344.5</v>
      </c>
      <c r="AG25" s="505">
        <v>359.6</v>
      </c>
      <c r="AH25" s="212">
        <v>306.8</v>
      </c>
      <c r="AI25" s="494">
        <v>398.3</v>
      </c>
      <c r="AJ25" s="505"/>
      <c r="AK25" s="505"/>
      <c r="AL25" s="212"/>
    </row>
    <row r="26" spans="1:38" s="12" customFormat="1" ht="20.100000000000001" customHeight="1">
      <c r="A26" s="48" t="s">
        <v>61</v>
      </c>
      <c r="B26" s="669" t="s">
        <v>322</v>
      </c>
      <c r="C26" s="32">
        <f>1.102</f>
        <v>1.1020000000000001</v>
      </c>
      <c r="D26" s="33">
        <f>0</f>
        <v>0</v>
      </c>
      <c r="E26" s="33">
        <f>0</f>
        <v>0</v>
      </c>
      <c r="F26" s="86">
        <f>0</f>
        <v>0</v>
      </c>
      <c r="G26" s="33">
        <f>0</f>
        <v>0</v>
      </c>
      <c r="H26" s="33">
        <f>0</f>
        <v>0</v>
      </c>
      <c r="I26" s="33">
        <f>0</f>
        <v>0</v>
      </c>
      <c r="J26" s="70">
        <v>0</v>
      </c>
      <c r="K26" s="81">
        <v>0</v>
      </c>
      <c r="L26" s="41">
        <v>0</v>
      </c>
      <c r="M26" s="41">
        <v>0</v>
      </c>
      <c r="N26" s="86">
        <f>0*($A$77)</f>
        <v>0</v>
      </c>
      <c r="O26" s="33">
        <f>0*($A$77)</f>
        <v>0</v>
      </c>
      <c r="P26" s="33">
        <v>0</v>
      </c>
      <c r="Q26" s="41">
        <v>0</v>
      </c>
      <c r="R26" s="212">
        <v>0</v>
      </c>
      <c r="S26" s="252">
        <v>0</v>
      </c>
      <c r="T26" s="252">
        <v>0</v>
      </c>
      <c r="U26" s="252">
        <v>0</v>
      </c>
      <c r="V26" s="212">
        <v>0</v>
      </c>
      <c r="W26" s="252">
        <v>0</v>
      </c>
      <c r="X26" s="252">
        <v>0</v>
      </c>
      <c r="Y26" s="252">
        <v>0</v>
      </c>
      <c r="Z26" s="212">
        <v>0</v>
      </c>
      <c r="AA26" s="493">
        <v>0</v>
      </c>
      <c r="AB26" s="494">
        <v>0</v>
      </c>
      <c r="AC26" s="505">
        <v>0</v>
      </c>
      <c r="AD26" s="212">
        <v>0</v>
      </c>
      <c r="AE26" s="505">
        <v>0</v>
      </c>
      <c r="AF26" s="252">
        <v>0</v>
      </c>
      <c r="AG26" s="505">
        <v>0</v>
      </c>
      <c r="AH26" s="212">
        <v>0</v>
      </c>
      <c r="AI26" s="505">
        <v>0</v>
      </c>
      <c r="AJ26" s="252">
        <v>0</v>
      </c>
      <c r="AK26" s="505">
        <v>0</v>
      </c>
      <c r="AL26" s="212">
        <v>0</v>
      </c>
    </row>
    <row r="27" spans="1:38" s="12" customFormat="1" ht="20.100000000000001" customHeight="1">
      <c r="A27" s="48" t="s">
        <v>157</v>
      </c>
      <c r="B27" s="669" t="s">
        <v>323</v>
      </c>
      <c r="C27" s="32">
        <f>342.386</f>
        <v>342.38600000000002</v>
      </c>
      <c r="D27" s="59">
        <f>(382365)*0.001</f>
        <v>382.36500000000001</v>
      </c>
      <c r="E27" s="59">
        <f>(376949)*0.001</f>
        <v>376.94900000000001</v>
      </c>
      <c r="F27" s="272">
        <f>(375659)*0.001</f>
        <v>375.65899999999999</v>
      </c>
      <c r="G27" s="59">
        <f>(403593)*0.001</f>
        <v>403.59300000000002</v>
      </c>
      <c r="H27" s="59">
        <f>(410902)*0.001</f>
        <v>410.90199999999999</v>
      </c>
      <c r="I27" s="59">
        <f>(401503)*0.001</f>
        <v>401.50299999999999</v>
      </c>
      <c r="J27" s="273">
        <f>(374424)*0.001</f>
        <v>374.42400000000004</v>
      </c>
      <c r="K27" s="274">
        <f>(398589)*0.001</f>
        <v>398.589</v>
      </c>
      <c r="L27" s="31">
        <v>1374.4</v>
      </c>
      <c r="M27" s="31">
        <v>1369.9</v>
      </c>
      <c r="N27" s="80">
        <v>1453.4</v>
      </c>
      <c r="O27" s="32">
        <v>1599.5</v>
      </c>
      <c r="P27" s="32">
        <v>1988.6</v>
      </c>
      <c r="Q27" s="31">
        <v>1699.4</v>
      </c>
      <c r="R27" s="212">
        <v>1619.1</v>
      </c>
      <c r="S27" s="251">
        <v>1503.9</v>
      </c>
      <c r="T27" s="251">
        <v>1541.1</v>
      </c>
      <c r="U27" s="251">
        <v>1571.8</v>
      </c>
      <c r="V27" s="212">
        <v>1688</v>
      </c>
      <c r="W27" s="251">
        <v>1608.5</v>
      </c>
      <c r="X27" s="251">
        <v>1727</v>
      </c>
      <c r="Y27" s="251">
        <v>1758.5</v>
      </c>
      <c r="Z27" s="212">
        <v>1983.2</v>
      </c>
      <c r="AA27" s="493">
        <v>1990.7</v>
      </c>
      <c r="AB27" s="493">
        <v>2161.3000000000002</v>
      </c>
      <c r="AC27" s="493">
        <v>2197.3000000000002</v>
      </c>
      <c r="AD27" s="212">
        <v>2370.4</v>
      </c>
      <c r="AE27" s="505">
        <v>2334.6999999999998</v>
      </c>
      <c r="AF27" s="505">
        <v>2284.4</v>
      </c>
      <c r="AG27" s="505">
        <v>2291.6</v>
      </c>
      <c r="AH27" s="212">
        <v>2511.6</v>
      </c>
      <c r="AI27" s="505">
        <v>2335.9</v>
      </c>
      <c r="AJ27" s="505"/>
      <c r="AK27" s="505"/>
      <c r="AL27" s="212"/>
    </row>
    <row r="28" spans="1:38" s="12" customFormat="1" ht="20.100000000000001" customHeight="1">
      <c r="A28" s="48" t="s">
        <v>69</v>
      </c>
      <c r="B28" s="669" t="s">
        <v>324</v>
      </c>
      <c r="C28" s="32">
        <f>9.894</f>
        <v>9.8940000000000001</v>
      </c>
      <c r="D28" s="59">
        <f>(263)*0.001</f>
        <v>0.26300000000000001</v>
      </c>
      <c r="E28" s="59">
        <f>(321)*0.001</f>
        <v>0.32100000000000001</v>
      </c>
      <c r="F28" s="272">
        <f>(6494)*0.001</f>
        <v>6.4939999999999998</v>
      </c>
      <c r="G28" s="59">
        <f>(1372)*0.001</f>
        <v>1.3720000000000001</v>
      </c>
      <c r="H28" s="59">
        <f>(1952)*0.001</f>
        <v>1.952</v>
      </c>
      <c r="I28" s="59">
        <f>(1195)*0.001</f>
        <v>1.1950000000000001</v>
      </c>
      <c r="J28" s="273">
        <f>(183)*0.001</f>
        <v>0.183</v>
      </c>
      <c r="K28" s="274">
        <f>(365)*0.001</f>
        <v>0.36499999999999999</v>
      </c>
      <c r="L28" s="31">
        <v>28</v>
      </c>
      <c r="M28" s="31">
        <v>26</v>
      </c>
      <c r="N28" s="80">
        <v>26</v>
      </c>
      <c r="O28" s="32">
        <v>28.9</v>
      </c>
      <c r="P28" s="32">
        <v>1.5</v>
      </c>
      <c r="Q28" s="31">
        <v>0.7</v>
      </c>
      <c r="R28" s="212">
        <v>0.7</v>
      </c>
      <c r="S28" s="251">
        <v>1.9</v>
      </c>
      <c r="T28" s="251">
        <v>1.4</v>
      </c>
      <c r="U28" s="251">
        <v>0.9</v>
      </c>
      <c r="V28" s="212">
        <v>29.1</v>
      </c>
      <c r="W28" s="251">
        <v>30.3</v>
      </c>
      <c r="X28" s="251">
        <v>17</v>
      </c>
      <c r="Y28" s="251">
        <v>25.3</v>
      </c>
      <c r="Z28" s="212">
        <v>1.3</v>
      </c>
      <c r="AA28" s="493">
        <v>55.8</v>
      </c>
      <c r="AB28" s="493">
        <v>68.7</v>
      </c>
      <c r="AC28" s="493">
        <v>65.400000000000006</v>
      </c>
      <c r="AD28" s="212">
        <v>34.6</v>
      </c>
      <c r="AE28" s="505">
        <v>36.799999999999997</v>
      </c>
      <c r="AF28" s="505">
        <v>5.6</v>
      </c>
      <c r="AG28" s="505">
        <v>4.5</v>
      </c>
      <c r="AH28" s="212">
        <v>4.8</v>
      </c>
      <c r="AI28" s="505">
        <v>7.1</v>
      </c>
      <c r="AJ28" s="505"/>
      <c r="AK28" s="505"/>
      <c r="AL28" s="212"/>
    </row>
    <row r="29" spans="1:38" s="12" customFormat="1" ht="20.100000000000001" customHeight="1">
      <c r="A29" s="48" t="s">
        <v>158</v>
      </c>
      <c r="B29" s="669" t="s">
        <v>325</v>
      </c>
      <c r="C29" s="33">
        <v>0</v>
      </c>
      <c r="D29" s="59">
        <f>(53916)*0.001</f>
        <v>53.916000000000004</v>
      </c>
      <c r="E29" s="59">
        <f>(54038)*0.001</f>
        <v>54.038000000000004</v>
      </c>
      <c r="F29" s="272">
        <f>(57096)*0.001</f>
        <v>57.096000000000004</v>
      </c>
      <c r="G29" s="59">
        <f>(60035)*0.001</f>
        <v>60.035000000000004</v>
      </c>
      <c r="H29" s="59">
        <f>(63564)*0.001</f>
        <v>63.564</v>
      </c>
      <c r="I29" s="59">
        <f>(65852)*0.001</f>
        <v>65.852000000000004</v>
      </c>
      <c r="J29" s="273">
        <f>(70055)*0.001</f>
        <v>70.055000000000007</v>
      </c>
      <c r="K29" s="274">
        <f>(70958)*0.001</f>
        <v>70.957999999999998</v>
      </c>
      <c r="L29" s="31">
        <v>91.2</v>
      </c>
      <c r="M29" s="31">
        <v>117.3</v>
      </c>
      <c r="N29" s="80">
        <v>141.69999999999999</v>
      </c>
      <c r="O29" s="32">
        <v>165.3</v>
      </c>
      <c r="P29" s="32">
        <v>186.1</v>
      </c>
      <c r="Q29" s="31">
        <v>200.4</v>
      </c>
      <c r="R29" s="212">
        <v>212.7</v>
      </c>
      <c r="S29" s="251">
        <v>213.3</v>
      </c>
      <c r="T29" s="251">
        <v>209.1</v>
      </c>
      <c r="U29" s="251">
        <v>207.6</v>
      </c>
      <c r="V29" s="212">
        <v>207.2</v>
      </c>
      <c r="W29" s="251">
        <v>205.7</v>
      </c>
      <c r="X29" s="251">
        <v>202.3</v>
      </c>
      <c r="Y29" s="251">
        <v>203.5</v>
      </c>
      <c r="Z29" s="212">
        <v>207.9</v>
      </c>
      <c r="AA29" s="493">
        <v>206.9</v>
      </c>
      <c r="AB29" s="493">
        <v>230.1</v>
      </c>
      <c r="AC29" s="493">
        <v>230.1</v>
      </c>
      <c r="AD29" s="212">
        <v>218.5</v>
      </c>
      <c r="AE29" s="505">
        <v>221.6</v>
      </c>
      <c r="AF29" s="505">
        <v>221.7</v>
      </c>
      <c r="AG29" s="505">
        <v>227.5</v>
      </c>
      <c r="AH29" s="212">
        <v>225.7</v>
      </c>
      <c r="AI29" s="505">
        <v>222.1</v>
      </c>
      <c r="AJ29" s="505"/>
      <c r="AK29" s="505"/>
      <c r="AL29" s="212"/>
    </row>
    <row r="30" spans="1:38" s="12" customFormat="1" ht="20.100000000000001" customHeight="1">
      <c r="A30" s="48" t="s">
        <v>159</v>
      </c>
      <c r="B30" s="669" t="s">
        <v>326</v>
      </c>
      <c r="C30" s="32">
        <f>136.299</f>
        <v>136.29900000000001</v>
      </c>
      <c r="D30" s="59">
        <f>(73814)*0.001</f>
        <v>73.814000000000007</v>
      </c>
      <c r="E30" s="59">
        <f>(53239)*0.001</f>
        <v>53.239000000000004</v>
      </c>
      <c r="F30" s="272">
        <f>(71968)*0.001</f>
        <v>71.968000000000004</v>
      </c>
      <c r="G30" s="59">
        <f>(109187)*0.001</f>
        <v>109.187</v>
      </c>
      <c r="H30" s="59">
        <f>(93754)*0.001</f>
        <v>93.754000000000005</v>
      </c>
      <c r="I30" s="59">
        <f>(113708)*0.001</f>
        <v>113.708</v>
      </c>
      <c r="J30" s="273">
        <f>(105360)*0.001</f>
        <v>105.36</v>
      </c>
      <c r="K30" s="274">
        <f>(106732)*0.001</f>
        <v>106.732</v>
      </c>
      <c r="L30" s="31">
        <v>221.9</v>
      </c>
      <c r="M30" s="31">
        <v>224.2</v>
      </c>
      <c r="N30" s="80">
        <v>160.1</v>
      </c>
      <c r="O30" s="32">
        <v>212.9</v>
      </c>
      <c r="P30" s="32">
        <v>226.2</v>
      </c>
      <c r="Q30" s="31">
        <v>255</v>
      </c>
      <c r="R30" s="212">
        <v>399.5</v>
      </c>
      <c r="S30" s="251">
        <v>69.599999999999994</v>
      </c>
      <c r="T30" s="251">
        <v>62.8</v>
      </c>
      <c r="U30" s="251">
        <v>54.9</v>
      </c>
      <c r="V30" s="212">
        <v>38.700000000000003</v>
      </c>
      <c r="W30" s="251">
        <v>72.3</v>
      </c>
      <c r="X30" s="251">
        <v>60.7</v>
      </c>
      <c r="Y30" s="251">
        <v>61.7</v>
      </c>
      <c r="Z30" s="212">
        <v>31.7</v>
      </c>
      <c r="AA30" s="493">
        <v>70.2</v>
      </c>
      <c r="AB30" s="493">
        <v>82.5</v>
      </c>
      <c r="AC30" s="493">
        <v>56.8</v>
      </c>
      <c r="AD30" s="212">
        <v>34.9</v>
      </c>
      <c r="AE30" s="505">
        <v>71.099999999999994</v>
      </c>
      <c r="AF30" s="505">
        <v>55.5</v>
      </c>
      <c r="AG30" s="505">
        <v>52.2</v>
      </c>
      <c r="AH30" s="212">
        <v>31.9</v>
      </c>
      <c r="AI30" s="505">
        <v>72.3</v>
      </c>
      <c r="AJ30" s="505"/>
      <c r="AK30" s="505"/>
      <c r="AL30" s="212"/>
    </row>
    <row r="31" spans="1:38" s="28" customFormat="1" ht="20.100000000000001" customHeight="1">
      <c r="A31" s="53" t="s">
        <v>91</v>
      </c>
      <c r="B31" s="674" t="s">
        <v>327</v>
      </c>
      <c r="C31" s="33">
        <v>0</v>
      </c>
      <c r="D31" s="33">
        <f>0</f>
        <v>0</v>
      </c>
      <c r="E31" s="33">
        <v>0</v>
      </c>
      <c r="F31" s="97">
        <f>0</f>
        <v>0</v>
      </c>
      <c r="G31" s="33">
        <f>0</f>
        <v>0</v>
      </c>
      <c r="H31" s="33">
        <v>0</v>
      </c>
      <c r="I31" s="33">
        <f>0</f>
        <v>0</v>
      </c>
      <c r="J31" s="72">
        <v>0</v>
      </c>
      <c r="K31" s="81">
        <v>0</v>
      </c>
      <c r="L31" s="33">
        <f>0*($A$77)</f>
        <v>0</v>
      </c>
      <c r="M31" s="33">
        <f>0*($A$77)</f>
        <v>0</v>
      </c>
      <c r="N31" s="83">
        <v>22.2</v>
      </c>
      <c r="O31" s="37">
        <v>26.3</v>
      </c>
      <c r="P31" s="37">
        <v>27.3</v>
      </c>
      <c r="Q31" s="42">
        <v>3.8</v>
      </c>
      <c r="R31" s="213">
        <v>10.5</v>
      </c>
      <c r="S31" s="253">
        <v>0.2</v>
      </c>
      <c r="T31" s="253">
        <v>3.6</v>
      </c>
      <c r="U31" s="253">
        <v>4.8</v>
      </c>
      <c r="V31" s="213">
        <v>6.7</v>
      </c>
      <c r="W31" s="253">
        <v>4.9000000000000004</v>
      </c>
      <c r="X31" s="253">
        <v>5.3</v>
      </c>
      <c r="Y31" s="253">
        <v>6.4</v>
      </c>
      <c r="Z31" s="213">
        <v>5.0999999999999996</v>
      </c>
      <c r="AA31" s="495">
        <v>2.7</v>
      </c>
      <c r="AB31" s="495">
        <v>1.6</v>
      </c>
      <c r="AC31" s="506">
        <v>0.4</v>
      </c>
      <c r="AD31" s="213">
        <v>0</v>
      </c>
      <c r="AE31" s="506">
        <v>0</v>
      </c>
      <c r="AF31" s="506">
        <v>0</v>
      </c>
      <c r="AG31" s="505">
        <v>0</v>
      </c>
      <c r="AH31" s="213">
        <v>0.2</v>
      </c>
      <c r="AI31" s="506">
        <v>0</v>
      </c>
      <c r="AJ31" s="506">
        <v>0</v>
      </c>
      <c r="AK31" s="505">
        <v>0</v>
      </c>
      <c r="AL31" s="213"/>
    </row>
    <row r="32" spans="1:38" s="12" customFormat="1" ht="20.100000000000001" customHeight="1">
      <c r="A32" s="48" t="s">
        <v>85</v>
      </c>
      <c r="B32" s="669" t="s">
        <v>328</v>
      </c>
      <c r="C32" s="33">
        <v>0</v>
      </c>
      <c r="D32" s="33">
        <f>0</f>
        <v>0</v>
      </c>
      <c r="E32" s="33">
        <v>0</v>
      </c>
      <c r="F32" s="86">
        <v>0</v>
      </c>
      <c r="G32" s="33">
        <f>0</f>
        <v>0</v>
      </c>
      <c r="H32" s="33">
        <v>0</v>
      </c>
      <c r="I32" s="33">
        <f>0</f>
        <v>0</v>
      </c>
      <c r="J32" s="70">
        <v>0</v>
      </c>
      <c r="K32" s="81">
        <v>0</v>
      </c>
      <c r="L32" s="43">
        <v>270</v>
      </c>
      <c r="M32" s="43">
        <v>30</v>
      </c>
      <c r="N32" s="86">
        <f>0*($A$77)</f>
        <v>0</v>
      </c>
      <c r="O32" s="32">
        <v>42.7</v>
      </c>
      <c r="P32" s="32">
        <v>43.1</v>
      </c>
      <c r="Q32" s="34">
        <v>0</v>
      </c>
      <c r="R32" s="212">
        <v>0</v>
      </c>
      <c r="S32" s="251">
        <v>12.4</v>
      </c>
      <c r="T32" s="251">
        <v>0</v>
      </c>
      <c r="U32" s="251">
        <v>0</v>
      </c>
      <c r="V32" s="212">
        <v>0</v>
      </c>
      <c r="W32" s="251">
        <v>0</v>
      </c>
      <c r="X32" s="251">
        <v>0</v>
      </c>
      <c r="Y32" s="251">
        <v>0</v>
      </c>
      <c r="Z32" s="212">
        <v>0</v>
      </c>
      <c r="AA32" s="493">
        <v>0</v>
      </c>
      <c r="AB32" s="493">
        <v>0</v>
      </c>
      <c r="AC32" s="505">
        <v>0</v>
      </c>
      <c r="AD32" s="212">
        <v>0</v>
      </c>
      <c r="AE32" s="505">
        <v>0</v>
      </c>
      <c r="AF32" s="505">
        <v>0</v>
      </c>
      <c r="AG32" s="505">
        <v>0</v>
      </c>
      <c r="AH32" s="212">
        <v>0</v>
      </c>
      <c r="AI32" s="505">
        <v>0</v>
      </c>
      <c r="AJ32" s="505">
        <v>0</v>
      </c>
      <c r="AK32" s="505">
        <v>0</v>
      </c>
      <c r="AL32" s="212">
        <v>0</v>
      </c>
    </row>
    <row r="33" spans="1:38" s="12" customFormat="1" ht="20.100000000000001" customHeight="1">
      <c r="A33" s="48" t="s">
        <v>12</v>
      </c>
      <c r="B33" s="669" t="s">
        <v>329</v>
      </c>
      <c r="C33" s="32">
        <f>422.627</f>
        <v>422.62700000000001</v>
      </c>
      <c r="D33" s="59">
        <f>(309519)*0.001</f>
        <v>309.51900000000001</v>
      </c>
      <c r="E33" s="59">
        <f>(225111)*0.001</f>
        <v>225.11100000000002</v>
      </c>
      <c r="F33" s="272">
        <f>(270354)*0.001</f>
        <v>270.35399999999998</v>
      </c>
      <c r="G33" s="59">
        <f>(324338)*0.001</f>
        <v>324.33800000000002</v>
      </c>
      <c r="H33" s="59">
        <f>(265803)*0.001</f>
        <v>265.803</v>
      </c>
      <c r="I33" s="59">
        <f>(215396)*0.001</f>
        <v>215.39600000000002</v>
      </c>
      <c r="J33" s="273">
        <f>(342251)*0.001</f>
        <v>342.25100000000003</v>
      </c>
      <c r="K33" s="274">
        <f>(428190)*0.001</f>
        <v>428.19</v>
      </c>
      <c r="L33" s="31">
        <v>1894.3</v>
      </c>
      <c r="M33" s="31">
        <v>1631</v>
      </c>
      <c r="N33" s="80">
        <v>1735.3</v>
      </c>
      <c r="O33" s="32">
        <v>1478.9</v>
      </c>
      <c r="P33" s="32">
        <v>1383.8</v>
      </c>
      <c r="Q33" s="31">
        <v>1059.5999999999999</v>
      </c>
      <c r="R33" s="212">
        <v>1512</v>
      </c>
      <c r="S33" s="251">
        <v>1538.6</v>
      </c>
      <c r="T33" s="251">
        <v>944.5</v>
      </c>
      <c r="U33" s="251">
        <v>1099.4000000000001</v>
      </c>
      <c r="V33" s="212">
        <v>1326</v>
      </c>
      <c r="W33" s="251">
        <v>1567.7</v>
      </c>
      <c r="X33" s="251">
        <v>1354.6</v>
      </c>
      <c r="Y33" s="251">
        <v>1080.2</v>
      </c>
      <c r="Z33" s="212">
        <v>1161.5</v>
      </c>
      <c r="AA33" s="493">
        <v>785.9</v>
      </c>
      <c r="AB33" s="493">
        <v>876.1</v>
      </c>
      <c r="AC33" s="493">
        <v>1151.5</v>
      </c>
      <c r="AD33" s="212">
        <v>1167</v>
      </c>
      <c r="AE33" s="505">
        <v>745.7</v>
      </c>
      <c r="AF33" s="505">
        <v>774.9</v>
      </c>
      <c r="AG33" s="505">
        <v>878.2</v>
      </c>
      <c r="AH33" s="212">
        <v>743.5</v>
      </c>
      <c r="AI33" s="505">
        <v>1130.5999999999999</v>
      </c>
      <c r="AJ33" s="505"/>
      <c r="AK33" s="505"/>
      <c r="AL33" s="212"/>
    </row>
    <row r="34" spans="1:38" s="12" customFormat="1" ht="20.100000000000001" customHeight="1" thickBot="1">
      <c r="A34" s="48" t="s">
        <v>43</v>
      </c>
      <c r="B34" s="669" t="s">
        <v>330</v>
      </c>
      <c r="C34" s="33">
        <v>0</v>
      </c>
      <c r="D34" s="33">
        <f>0</f>
        <v>0</v>
      </c>
      <c r="E34" s="33">
        <f>0</f>
        <v>0</v>
      </c>
      <c r="F34" s="86">
        <v>0</v>
      </c>
      <c r="G34" s="33">
        <f>0</f>
        <v>0</v>
      </c>
      <c r="H34" s="33">
        <v>0</v>
      </c>
      <c r="I34" s="33">
        <f>0</f>
        <v>0</v>
      </c>
      <c r="J34" s="70">
        <v>0</v>
      </c>
      <c r="K34" s="81">
        <v>0</v>
      </c>
      <c r="L34" s="43">
        <v>12.6</v>
      </c>
      <c r="M34" s="43">
        <v>12.2</v>
      </c>
      <c r="N34" s="80">
        <v>12.6</v>
      </c>
      <c r="O34" s="32">
        <v>12.7</v>
      </c>
      <c r="P34" s="32">
        <v>12.8</v>
      </c>
      <c r="Q34" s="43">
        <v>12.4</v>
      </c>
      <c r="R34" s="212">
        <v>11.7</v>
      </c>
      <c r="S34" s="251">
        <v>31.4</v>
      </c>
      <c r="T34" s="251">
        <v>10.9</v>
      </c>
      <c r="U34" s="251">
        <v>10.8</v>
      </c>
      <c r="V34" s="212">
        <v>10.7</v>
      </c>
      <c r="W34" s="251">
        <v>9.6</v>
      </c>
      <c r="X34" s="251">
        <v>8</v>
      </c>
      <c r="Y34" s="251">
        <v>8.1999999999999993</v>
      </c>
      <c r="Z34" s="212">
        <v>10.5</v>
      </c>
      <c r="AA34" s="493">
        <v>11.6</v>
      </c>
      <c r="AB34" s="493">
        <v>11.7</v>
      </c>
      <c r="AC34" s="493">
        <v>11.6</v>
      </c>
      <c r="AD34" s="212">
        <v>11.7</v>
      </c>
      <c r="AE34" s="505">
        <v>11.3</v>
      </c>
      <c r="AF34" s="505">
        <v>8.9</v>
      </c>
      <c r="AG34" s="505">
        <v>8</v>
      </c>
      <c r="AH34" s="212">
        <v>9.6</v>
      </c>
      <c r="AI34" s="505">
        <v>10.199999999999999</v>
      </c>
      <c r="AJ34" s="505"/>
      <c r="AK34" s="505"/>
      <c r="AL34" s="212"/>
    </row>
    <row r="35" spans="1:38" s="15" customFormat="1" ht="24.95" customHeight="1" thickBot="1">
      <c r="A35" s="13" t="s">
        <v>13</v>
      </c>
      <c r="B35" s="675" t="s">
        <v>331</v>
      </c>
      <c r="C35" s="52">
        <f t="shared" ref="C35:M35" si="2">SUM(C23:C34)</f>
        <v>1273.798</v>
      </c>
      <c r="D35" s="52">
        <f t="shared" si="2"/>
        <v>1172.6559999999999</v>
      </c>
      <c r="E35" s="52">
        <f t="shared" si="2"/>
        <v>1058.173</v>
      </c>
      <c r="F35" s="74">
        <f t="shared" si="2"/>
        <v>1085.1969999999999</v>
      </c>
      <c r="G35" s="52">
        <f t="shared" si="2"/>
        <v>1204.625</v>
      </c>
      <c r="H35" s="52">
        <f t="shared" si="2"/>
        <v>1164.163</v>
      </c>
      <c r="I35" s="52">
        <f t="shared" si="2"/>
        <v>1161.885</v>
      </c>
      <c r="J35" s="52">
        <f t="shared" si="2"/>
        <v>1220.3850000000002</v>
      </c>
      <c r="K35" s="275">
        <f t="shared" si="2"/>
        <v>1396.8419999999999</v>
      </c>
      <c r="L35" s="51">
        <f t="shared" si="2"/>
        <v>4435.3</v>
      </c>
      <c r="M35" s="51">
        <f t="shared" si="2"/>
        <v>3899.7999999999997</v>
      </c>
      <c r="N35" s="74">
        <f t="shared" ref="N35:S35" si="3">SUM(N23:N34)-N31</f>
        <v>3982.6</v>
      </c>
      <c r="O35" s="52">
        <f t="shared" si="3"/>
        <v>3956.9</v>
      </c>
      <c r="P35" s="52">
        <f t="shared" si="3"/>
        <v>4274.2</v>
      </c>
      <c r="Q35" s="52">
        <f t="shared" si="3"/>
        <v>3747.2000000000003</v>
      </c>
      <c r="R35" s="214">
        <f t="shared" si="3"/>
        <v>4228.8999999999987</v>
      </c>
      <c r="S35" s="255">
        <f t="shared" si="3"/>
        <v>3866.0000000000005</v>
      </c>
      <c r="T35" s="255">
        <f t="shared" ref="T35:U35" si="4">SUM(T23:T34)-T31</f>
        <v>3203.3</v>
      </c>
      <c r="U35" s="255">
        <f t="shared" si="4"/>
        <v>3445.5000000000005</v>
      </c>
      <c r="V35" s="214">
        <f t="shared" ref="V35" si="5">SUM(V23:V34)-V31</f>
        <v>3770.3999999999992</v>
      </c>
      <c r="W35" s="255">
        <f t="shared" ref="W35:X35" si="6">SUM(W23:W34)-W31</f>
        <v>3911.1000000000004</v>
      </c>
      <c r="X35" s="255">
        <f t="shared" si="6"/>
        <v>3862.9</v>
      </c>
      <c r="Y35" s="255">
        <f t="shared" ref="Y35:AB35" si="7">SUM(Y23:Y34)-Y31</f>
        <v>3676.6</v>
      </c>
      <c r="Z35" s="214">
        <f t="shared" si="7"/>
        <v>3931.5</v>
      </c>
      <c r="AA35" s="255">
        <f t="shared" si="7"/>
        <v>4363.8</v>
      </c>
      <c r="AB35" s="255">
        <f t="shared" si="7"/>
        <v>4827.2</v>
      </c>
      <c r="AC35" s="507">
        <f>SUM(AC23:AC34)-AC31</f>
        <v>5300.0000000000009</v>
      </c>
      <c r="AD35" s="214">
        <f>SUM(AD23:AD34)-AD31</f>
        <v>5422.7</v>
      </c>
      <c r="AE35" s="507">
        <f>SUM(AE23:AE34)-AE31</f>
        <v>4952.3000000000011</v>
      </c>
      <c r="AF35" s="507">
        <f t="shared" ref="AF35:AH35" si="8">SUM(AF23:AF34)-AF31</f>
        <v>4886.0999999999985</v>
      </c>
      <c r="AG35" s="507">
        <f t="shared" si="8"/>
        <v>5013.3999999999996</v>
      </c>
      <c r="AH35" s="214">
        <f t="shared" si="8"/>
        <v>4984.8999999999996</v>
      </c>
      <c r="AI35" s="507">
        <f>SUM(AI23:AI34)-AI31</f>
        <v>5339.8</v>
      </c>
      <c r="AJ35" s="507">
        <f t="shared" ref="AJ35:AL35" si="9">SUM(AJ23:AJ34)-AJ31</f>
        <v>0</v>
      </c>
      <c r="AK35" s="507">
        <f t="shared" si="9"/>
        <v>0</v>
      </c>
      <c r="AL35" s="214">
        <f t="shared" si="9"/>
        <v>0</v>
      </c>
    </row>
    <row r="36" spans="1:38" s="12" customFormat="1" ht="24.95" customHeight="1" thickBot="1">
      <c r="A36" s="55" t="s">
        <v>115</v>
      </c>
      <c r="B36" s="676" t="s">
        <v>332</v>
      </c>
      <c r="C36" s="56">
        <f t="shared" ref="C36:Q36" si="10">C22+C35</f>
        <v>5502.7539999999999</v>
      </c>
      <c r="D36" s="56">
        <f t="shared" si="10"/>
        <v>5597.8010000000004</v>
      </c>
      <c r="E36" s="56">
        <f t="shared" si="10"/>
        <v>5514.8739999999998</v>
      </c>
      <c r="F36" s="87">
        <f t="shared" si="10"/>
        <v>5561.3450000000003</v>
      </c>
      <c r="G36" s="56">
        <f t="shared" si="10"/>
        <v>5629.4740000000011</v>
      </c>
      <c r="H36" s="56">
        <f t="shared" si="10"/>
        <v>5592.7070000000003</v>
      </c>
      <c r="I36" s="56">
        <f t="shared" si="10"/>
        <v>5597.9810000000007</v>
      </c>
      <c r="J36" s="276">
        <f t="shared" si="10"/>
        <v>5676.2300000000005</v>
      </c>
      <c r="K36" s="277">
        <f t="shared" si="10"/>
        <v>5851.1940000000004</v>
      </c>
      <c r="L36" s="56">
        <f t="shared" si="10"/>
        <v>27827.1</v>
      </c>
      <c r="M36" s="56">
        <f t="shared" si="10"/>
        <v>27481.199999999997</v>
      </c>
      <c r="N36" s="87">
        <f t="shared" si="10"/>
        <v>27338.699999999997</v>
      </c>
      <c r="O36" s="56">
        <f t="shared" si="10"/>
        <v>27088.9</v>
      </c>
      <c r="P36" s="56">
        <f t="shared" si="10"/>
        <v>27141.8</v>
      </c>
      <c r="Q36" s="56">
        <f t="shared" si="10"/>
        <v>26143.5</v>
      </c>
      <c r="R36" s="215">
        <f t="shared" ref="R36:S36" si="11">R22+R35</f>
        <v>26490.099999999995</v>
      </c>
      <c r="S36" s="257">
        <f t="shared" si="11"/>
        <v>28355.499999999996</v>
      </c>
      <c r="T36" s="257">
        <f t="shared" ref="T36:W36" si="12">T22+T35</f>
        <v>27581.1</v>
      </c>
      <c r="U36" s="257">
        <f t="shared" si="12"/>
        <v>27493.100000000002</v>
      </c>
      <c r="V36" s="215">
        <f t="shared" si="12"/>
        <v>27729.299999999996</v>
      </c>
      <c r="W36" s="257">
        <f t="shared" si="12"/>
        <v>27553.199999999997</v>
      </c>
      <c r="X36" s="257">
        <f t="shared" ref="X36:Y36" si="13">X22+X35</f>
        <v>27317.5</v>
      </c>
      <c r="Y36" s="257">
        <f t="shared" si="13"/>
        <v>26892.599999999995</v>
      </c>
      <c r="Z36" s="215">
        <f t="shared" ref="Z36:AH36" si="14">Z22+Z35</f>
        <v>27756</v>
      </c>
      <c r="AA36" s="257">
        <f t="shared" si="14"/>
        <v>27894.399999999998</v>
      </c>
      <c r="AB36" s="257">
        <f t="shared" si="14"/>
        <v>29751.599999999999</v>
      </c>
      <c r="AC36" s="257">
        <f t="shared" si="14"/>
        <v>30395.3</v>
      </c>
      <c r="AD36" s="215">
        <f t="shared" si="14"/>
        <v>30696.800000000003</v>
      </c>
      <c r="AE36" s="257">
        <f t="shared" si="14"/>
        <v>31463.800000000003</v>
      </c>
      <c r="AF36" s="257">
        <f t="shared" si="14"/>
        <v>31359.200000000001</v>
      </c>
      <c r="AG36" s="257">
        <f t="shared" si="14"/>
        <v>31277.699999999997</v>
      </c>
      <c r="AH36" s="215">
        <f t="shared" si="14"/>
        <v>32589.599999999999</v>
      </c>
      <c r="AI36" s="257">
        <f t="shared" ref="AI36:AL36" si="15">AI22+AI35</f>
        <v>32658.700000000004</v>
      </c>
      <c r="AJ36" s="257">
        <f t="shared" si="15"/>
        <v>0</v>
      </c>
      <c r="AK36" s="257">
        <f t="shared" si="15"/>
        <v>0</v>
      </c>
      <c r="AL36" s="215">
        <f t="shared" si="15"/>
        <v>0</v>
      </c>
    </row>
    <row r="37" spans="1:38" s="12" customFormat="1" ht="33.75" customHeight="1" thickBot="1">
      <c r="A37" s="62" t="s">
        <v>14</v>
      </c>
      <c r="B37" s="677" t="s">
        <v>333</v>
      </c>
      <c r="C37" s="63"/>
      <c r="D37" s="63"/>
      <c r="E37" s="63"/>
      <c r="F37" s="79"/>
      <c r="G37" s="63"/>
      <c r="H37" s="63"/>
      <c r="I37" s="63"/>
      <c r="J37" s="69"/>
      <c r="K37" s="78"/>
      <c r="L37" s="64"/>
      <c r="M37" s="64"/>
      <c r="N37" s="79"/>
      <c r="O37" s="63"/>
      <c r="P37" s="63"/>
      <c r="Q37" s="64"/>
      <c r="R37" s="79"/>
      <c r="S37" s="258"/>
      <c r="T37" s="258"/>
      <c r="U37" s="258"/>
      <c r="V37" s="79"/>
      <c r="W37" s="258"/>
      <c r="X37" s="258"/>
      <c r="Y37" s="258"/>
      <c r="Z37" s="79"/>
      <c r="AA37" s="417"/>
      <c r="AB37" s="258"/>
      <c r="AC37" s="417"/>
      <c r="AD37" s="79"/>
      <c r="AE37" s="417"/>
      <c r="AF37" s="258"/>
      <c r="AG37" s="417"/>
      <c r="AH37" s="416"/>
      <c r="AI37" s="417"/>
      <c r="AJ37" s="258"/>
      <c r="AK37" s="417"/>
      <c r="AL37" s="416"/>
    </row>
    <row r="38" spans="1:38" s="12" customFormat="1" ht="20.100000000000001" customHeight="1">
      <c r="A38" s="47" t="s">
        <v>15</v>
      </c>
      <c r="B38" s="669" t="s">
        <v>334</v>
      </c>
      <c r="C38" s="282">
        <f>13.934</f>
        <v>13.933999999999999</v>
      </c>
      <c r="D38" s="282">
        <f t="shared" ref="D38:K38" si="16">(13934)*0.001</f>
        <v>13.934000000000001</v>
      </c>
      <c r="E38" s="282">
        <f t="shared" si="16"/>
        <v>13.934000000000001</v>
      </c>
      <c r="F38" s="283">
        <f t="shared" si="16"/>
        <v>13.934000000000001</v>
      </c>
      <c r="G38" s="282">
        <f t="shared" si="16"/>
        <v>13.934000000000001</v>
      </c>
      <c r="H38" s="282">
        <f t="shared" si="16"/>
        <v>13.934000000000001</v>
      </c>
      <c r="I38" s="282">
        <f t="shared" si="16"/>
        <v>13.934000000000001</v>
      </c>
      <c r="J38" s="284">
        <f t="shared" si="16"/>
        <v>13.934000000000001</v>
      </c>
      <c r="K38" s="285">
        <f t="shared" si="16"/>
        <v>13.934000000000001</v>
      </c>
      <c r="L38" s="65">
        <v>25.6</v>
      </c>
      <c r="M38" s="65">
        <v>25.6</v>
      </c>
      <c r="N38" s="88">
        <v>25.6</v>
      </c>
      <c r="O38" s="66">
        <v>25.6</v>
      </c>
      <c r="P38" s="66">
        <v>25.6</v>
      </c>
      <c r="Q38" s="66">
        <v>25.6</v>
      </c>
      <c r="R38" s="216">
        <v>25.6</v>
      </c>
      <c r="S38" s="256">
        <v>25.6</v>
      </c>
      <c r="T38" s="256">
        <v>25.6</v>
      </c>
      <c r="U38" s="256">
        <v>25.6</v>
      </c>
      <c r="V38" s="216">
        <v>25.6</v>
      </c>
      <c r="W38" s="256">
        <v>25.6</v>
      </c>
      <c r="X38" s="256">
        <v>25.6</v>
      </c>
      <c r="Y38" s="256">
        <v>25.6</v>
      </c>
      <c r="Z38" s="216">
        <v>25.6</v>
      </c>
      <c r="AA38" s="498">
        <v>25.6</v>
      </c>
      <c r="AB38" s="498">
        <v>25.6</v>
      </c>
      <c r="AC38" s="497">
        <v>25.6</v>
      </c>
      <c r="AD38" s="216">
        <v>25.6</v>
      </c>
      <c r="AE38" s="498">
        <v>25.6</v>
      </c>
      <c r="AF38" s="498">
        <v>25.6</v>
      </c>
      <c r="AG38" s="505">
        <v>25.6</v>
      </c>
      <c r="AH38" s="212">
        <v>25.6</v>
      </c>
      <c r="AI38" s="498">
        <v>25.6</v>
      </c>
      <c r="AJ38" s="498"/>
      <c r="AK38" s="505"/>
      <c r="AL38" s="212"/>
    </row>
    <row r="39" spans="1:38" s="12" customFormat="1" ht="20.100000000000001" customHeight="1">
      <c r="A39" s="48" t="s">
        <v>16</v>
      </c>
      <c r="B39" s="669" t="s">
        <v>335</v>
      </c>
      <c r="C39" s="278">
        <f>432.265</f>
        <v>432.26499999999999</v>
      </c>
      <c r="D39" s="41">
        <v>0</v>
      </c>
      <c r="E39" s="41">
        <v>0</v>
      </c>
      <c r="F39" s="90">
        <v>0</v>
      </c>
      <c r="G39" s="41">
        <v>0</v>
      </c>
      <c r="H39" s="41">
        <v>0</v>
      </c>
      <c r="I39" s="41">
        <v>0</v>
      </c>
      <c r="J39" s="73">
        <v>0</v>
      </c>
      <c r="K39" s="89">
        <v>0</v>
      </c>
      <c r="L39" s="41">
        <v>0</v>
      </c>
      <c r="M39" s="41">
        <v>0</v>
      </c>
      <c r="N39" s="90">
        <v>0</v>
      </c>
      <c r="O39" s="41">
        <v>0</v>
      </c>
      <c r="P39" s="41">
        <v>0</v>
      </c>
      <c r="Q39" s="41">
        <v>0</v>
      </c>
      <c r="R39" s="212">
        <v>0</v>
      </c>
      <c r="S39" s="259">
        <v>0</v>
      </c>
      <c r="T39" s="259">
        <v>0</v>
      </c>
      <c r="U39" s="259">
        <v>0</v>
      </c>
      <c r="V39" s="212">
        <v>0</v>
      </c>
      <c r="W39" s="259">
        <v>0</v>
      </c>
      <c r="X39" s="259">
        <v>0</v>
      </c>
      <c r="Y39" s="259">
        <v>0</v>
      </c>
      <c r="Z39" s="212">
        <v>0</v>
      </c>
      <c r="AA39" s="499">
        <v>0</v>
      </c>
      <c r="AB39" s="499">
        <v>0</v>
      </c>
      <c r="AC39" s="499">
        <v>0</v>
      </c>
      <c r="AD39" s="212">
        <v>0</v>
      </c>
      <c r="AE39" s="499">
        <v>0</v>
      </c>
      <c r="AF39" s="499">
        <v>0</v>
      </c>
      <c r="AG39" s="499">
        <v>0</v>
      </c>
      <c r="AH39" s="212">
        <v>0</v>
      </c>
      <c r="AI39" s="499">
        <v>0</v>
      </c>
      <c r="AJ39" s="499">
        <v>0</v>
      </c>
      <c r="AK39" s="499">
        <v>0</v>
      </c>
      <c r="AL39" s="212">
        <v>0</v>
      </c>
    </row>
    <row r="40" spans="1:38" s="12" customFormat="1" ht="20.100000000000001" customHeight="1">
      <c r="A40" s="48" t="s">
        <v>17</v>
      </c>
      <c r="B40" s="669" t="s">
        <v>336</v>
      </c>
      <c r="C40" s="278">
        <f>1305.277</f>
        <v>1305.277</v>
      </c>
      <c r="D40" s="41">
        <v>0</v>
      </c>
      <c r="E40" s="41">
        <v>0</v>
      </c>
      <c r="F40" s="90">
        <v>0</v>
      </c>
      <c r="G40" s="41">
        <v>0</v>
      </c>
      <c r="H40" s="41">
        <v>0</v>
      </c>
      <c r="I40" s="41">
        <v>0</v>
      </c>
      <c r="J40" s="73">
        <v>0</v>
      </c>
      <c r="K40" s="89">
        <v>0</v>
      </c>
      <c r="L40" s="41">
        <v>0</v>
      </c>
      <c r="M40" s="41">
        <v>0</v>
      </c>
      <c r="N40" s="90">
        <v>0</v>
      </c>
      <c r="O40" s="41">
        <v>0</v>
      </c>
      <c r="P40" s="41">
        <v>0</v>
      </c>
      <c r="Q40" s="41">
        <v>0</v>
      </c>
      <c r="R40" s="212">
        <v>0</v>
      </c>
      <c r="S40" s="259">
        <v>0</v>
      </c>
      <c r="T40" s="259">
        <v>0</v>
      </c>
      <c r="U40" s="259">
        <v>0</v>
      </c>
      <c r="V40" s="212">
        <v>0</v>
      </c>
      <c r="W40" s="259">
        <v>0</v>
      </c>
      <c r="X40" s="259">
        <v>0</v>
      </c>
      <c r="Y40" s="259">
        <v>0</v>
      </c>
      <c r="Z40" s="212">
        <v>0</v>
      </c>
      <c r="AA40" s="499">
        <v>0</v>
      </c>
      <c r="AB40" s="499">
        <v>0</v>
      </c>
      <c r="AC40" s="499">
        <v>0</v>
      </c>
      <c r="AD40" s="212">
        <v>0</v>
      </c>
      <c r="AE40" s="499">
        <v>0</v>
      </c>
      <c r="AF40" s="499">
        <v>0</v>
      </c>
      <c r="AG40" s="499">
        <v>0</v>
      </c>
      <c r="AH40" s="212">
        <v>0</v>
      </c>
      <c r="AI40" s="499">
        <v>0</v>
      </c>
      <c r="AJ40" s="499">
        <v>0</v>
      </c>
      <c r="AK40" s="499">
        <v>0</v>
      </c>
      <c r="AL40" s="212">
        <v>0</v>
      </c>
    </row>
    <row r="41" spans="1:38" s="12" customFormat="1" ht="20.100000000000001" customHeight="1">
      <c r="A41" s="48" t="s">
        <v>160</v>
      </c>
      <c r="B41" s="669" t="s">
        <v>337</v>
      </c>
      <c r="C41" s="41">
        <v>0</v>
      </c>
      <c r="D41" s="32">
        <f t="shared" ref="D41:K41" si="17">(1295103)*0.001</f>
        <v>1295.1030000000001</v>
      </c>
      <c r="E41" s="32">
        <f t="shared" si="17"/>
        <v>1295.1030000000001</v>
      </c>
      <c r="F41" s="80">
        <f t="shared" si="17"/>
        <v>1295.1030000000001</v>
      </c>
      <c r="G41" s="32">
        <f t="shared" si="17"/>
        <v>1295.1030000000001</v>
      </c>
      <c r="H41" s="32">
        <f t="shared" si="17"/>
        <v>1295.1030000000001</v>
      </c>
      <c r="I41" s="32">
        <f t="shared" si="17"/>
        <v>1295.1030000000001</v>
      </c>
      <c r="J41" s="80">
        <f t="shared" si="17"/>
        <v>1295.1030000000001</v>
      </c>
      <c r="K41" s="32">
        <f t="shared" si="17"/>
        <v>1295.1030000000001</v>
      </c>
      <c r="L41" s="58">
        <v>7237.5</v>
      </c>
      <c r="M41" s="58">
        <v>7237.5</v>
      </c>
      <c r="N41" s="91">
        <v>7174</v>
      </c>
      <c r="O41" s="31">
        <v>7237.4</v>
      </c>
      <c r="P41" s="31">
        <v>7174</v>
      </c>
      <c r="Q41" s="31">
        <v>7174</v>
      </c>
      <c r="R41" s="212">
        <v>7174</v>
      </c>
      <c r="S41" s="251">
        <v>7174</v>
      </c>
      <c r="T41" s="251">
        <v>7174</v>
      </c>
      <c r="U41" s="251">
        <v>7174</v>
      </c>
      <c r="V41" s="212">
        <v>7174</v>
      </c>
      <c r="W41" s="251">
        <v>7174</v>
      </c>
      <c r="X41" s="251">
        <v>7174</v>
      </c>
      <c r="Y41" s="251">
        <v>7174</v>
      </c>
      <c r="Z41" s="212">
        <v>7174</v>
      </c>
      <c r="AA41" s="497">
        <v>7174</v>
      </c>
      <c r="AB41" s="497">
        <v>7174</v>
      </c>
      <c r="AC41" s="497">
        <v>7174</v>
      </c>
      <c r="AD41" s="212">
        <v>7174</v>
      </c>
      <c r="AE41" s="505">
        <v>7174</v>
      </c>
      <c r="AF41" s="505">
        <v>7174</v>
      </c>
      <c r="AG41" s="505">
        <v>7174</v>
      </c>
      <c r="AH41" s="212">
        <v>7174</v>
      </c>
      <c r="AI41" s="505">
        <v>7174</v>
      </c>
      <c r="AJ41" s="505"/>
      <c r="AK41" s="505"/>
      <c r="AL41" s="212"/>
    </row>
    <row r="42" spans="1:38" s="12" customFormat="1" ht="20.100000000000001" customHeight="1">
      <c r="A42" s="48" t="s">
        <v>57</v>
      </c>
      <c r="B42" s="669" t="s">
        <v>338</v>
      </c>
      <c r="C42" s="286">
        <f>-3.17</f>
        <v>-3.17</v>
      </c>
      <c r="D42" s="41">
        <v>0</v>
      </c>
      <c r="E42" s="41">
        <v>0</v>
      </c>
      <c r="F42" s="90">
        <v>0</v>
      </c>
      <c r="G42" s="41">
        <v>0</v>
      </c>
      <c r="H42" s="41">
        <v>0</v>
      </c>
      <c r="I42" s="41">
        <v>0</v>
      </c>
      <c r="J42" s="73">
        <v>0</v>
      </c>
      <c r="K42" s="89">
        <v>0</v>
      </c>
      <c r="L42" s="41">
        <v>0</v>
      </c>
      <c r="M42" s="41">
        <v>0</v>
      </c>
      <c r="N42" s="90">
        <v>0</v>
      </c>
      <c r="O42" s="41">
        <v>0</v>
      </c>
      <c r="P42" s="41">
        <v>0</v>
      </c>
      <c r="Q42" s="41">
        <v>0</v>
      </c>
      <c r="R42" s="212">
        <v>0</v>
      </c>
      <c r="S42" s="259">
        <v>0</v>
      </c>
      <c r="T42" s="259">
        <v>0</v>
      </c>
      <c r="U42" s="259">
        <v>0</v>
      </c>
      <c r="V42" s="212">
        <v>0</v>
      </c>
      <c r="W42" s="259">
        <v>0</v>
      </c>
      <c r="X42" s="259">
        <v>0</v>
      </c>
      <c r="Y42" s="259">
        <v>0</v>
      </c>
      <c r="Z42" s="212">
        <v>0</v>
      </c>
      <c r="AA42" s="499">
        <v>0</v>
      </c>
      <c r="AB42" s="499">
        <v>0</v>
      </c>
      <c r="AC42" s="499">
        <v>0</v>
      </c>
      <c r="AD42" s="212">
        <v>0</v>
      </c>
      <c r="AE42" s="499">
        <v>0</v>
      </c>
      <c r="AF42" s="499">
        <v>0</v>
      </c>
      <c r="AG42" s="499">
        <v>0</v>
      </c>
      <c r="AH42" s="212">
        <v>0</v>
      </c>
      <c r="AI42" s="499">
        <v>0</v>
      </c>
      <c r="AJ42" s="499">
        <v>0</v>
      </c>
      <c r="AK42" s="499">
        <v>0</v>
      </c>
      <c r="AL42" s="212">
        <v>0</v>
      </c>
    </row>
    <row r="43" spans="1:38" s="12" customFormat="1" ht="20.100000000000001" customHeight="1">
      <c r="A43" s="48" t="s">
        <v>58</v>
      </c>
      <c r="B43" s="669" t="s">
        <v>339</v>
      </c>
      <c r="C43" s="278">
        <f>2.396</f>
        <v>2.3959999999999999</v>
      </c>
      <c r="D43" s="41">
        <v>0</v>
      </c>
      <c r="E43" s="41">
        <v>0</v>
      </c>
      <c r="F43" s="90">
        <v>0</v>
      </c>
      <c r="G43" s="41">
        <v>0</v>
      </c>
      <c r="H43" s="41">
        <v>0</v>
      </c>
      <c r="I43" s="41">
        <v>0</v>
      </c>
      <c r="J43" s="73">
        <v>0</v>
      </c>
      <c r="K43" s="89">
        <v>0</v>
      </c>
      <c r="L43" s="41">
        <v>0</v>
      </c>
      <c r="M43" s="41">
        <v>0</v>
      </c>
      <c r="N43" s="90">
        <v>0</v>
      </c>
      <c r="O43" s="41">
        <v>0</v>
      </c>
      <c r="P43" s="41">
        <v>0</v>
      </c>
      <c r="Q43" s="41">
        <v>0</v>
      </c>
      <c r="R43" s="212">
        <v>0</v>
      </c>
      <c r="S43" s="259">
        <v>0</v>
      </c>
      <c r="T43" s="259">
        <v>0</v>
      </c>
      <c r="U43" s="259">
        <v>0</v>
      </c>
      <c r="V43" s="212">
        <v>0</v>
      </c>
      <c r="W43" s="259">
        <v>0</v>
      </c>
      <c r="X43" s="259">
        <v>0</v>
      </c>
      <c r="Y43" s="259">
        <v>0</v>
      </c>
      <c r="Z43" s="212">
        <v>0</v>
      </c>
      <c r="AA43" s="499">
        <v>0</v>
      </c>
      <c r="AB43" s="499">
        <v>0</v>
      </c>
      <c r="AC43" s="499">
        <v>0</v>
      </c>
      <c r="AD43" s="212">
        <v>0</v>
      </c>
      <c r="AE43" s="499">
        <v>0</v>
      </c>
      <c r="AF43" s="499">
        <v>0</v>
      </c>
      <c r="AG43" s="499">
        <v>0</v>
      </c>
      <c r="AH43" s="212">
        <v>0</v>
      </c>
      <c r="AI43" s="499">
        <v>0</v>
      </c>
      <c r="AJ43" s="499">
        <v>0</v>
      </c>
      <c r="AK43" s="499">
        <v>0</v>
      </c>
      <c r="AL43" s="212">
        <v>0</v>
      </c>
    </row>
    <row r="44" spans="1:38" s="12" customFormat="1" ht="20.100000000000001" customHeight="1">
      <c r="A44" s="48" t="s">
        <v>161</v>
      </c>
      <c r="B44" s="669" t="s">
        <v>336</v>
      </c>
      <c r="C44" s="41">
        <v>0</v>
      </c>
      <c r="D44" s="278">
        <f>(1225)*0.001</f>
        <v>1.2250000000000001</v>
      </c>
      <c r="E44" s="278">
        <f>(-8191)*0.001</f>
        <v>-8.1910000000000007</v>
      </c>
      <c r="F44" s="279">
        <f>(-16327)*0.001</f>
        <v>-16.327000000000002</v>
      </c>
      <c r="G44" s="278">
        <f>(-17667)*0.001</f>
        <v>-17.667000000000002</v>
      </c>
      <c r="H44" s="278">
        <f>(-13285)*0.001</f>
        <v>-13.285</v>
      </c>
      <c r="I44" s="278">
        <f>(-11455)*0.001</f>
        <v>-11.455</v>
      </c>
      <c r="J44" s="280">
        <f>(-8964)*0.001</f>
        <v>-8.9640000000000004</v>
      </c>
      <c r="K44" s="89">
        <v>0</v>
      </c>
      <c r="L44" s="41">
        <v>0</v>
      </c>
      <c r="M44" s="59">
        <v>-9.1999999999999993</v>
      </c>
      <c r="N44" s="92">
        <v>-12.2</v>
      </c>
      <c r="O44" s="59">
        <v>-12.7</v>
      </c>
      <c r="P44" s="59">
        <v>-7.9</v>
      </c>
      <c r="Q44" s="59">
        <v>-8.1999999999999993</v>
      </c>
      <c r="R44" s="212">
        <v>-3.7</v>
      </c>
      <c r="S44" s="260">
        <v>-1.7</v>
      </c>
      <c r="T44" s="260">
        <v>0.1</v>
      </c>
      <c r="U44" s="260">
        <v>2.2000000000000002</v>
      </c>
      <c r="V44" s="212">
        <v>4.5</v>
      </c>
      <c r="W44" s="260">
        <v>3.8</v>
      </c>
      <c r="X44" s="260">
        <v>3.6</v>
      </c>
      <c r="Y44" s="260">
        <v>3.5</v>
      </c>
      <c r="Z44" s="212">
        <v>3.2</v>
      </c>
      <c r="AA44" s="500">
        <v>2.8</v>
      </c>
      <c r="AB44" s="500">
        <v>-204.3</v>
      </c>
      <c r="AC44" s="497">
        <v>-204.1</v>
      </c>
      <c r="AD44" s="212">
        <v>-162.5</v>
      </c>
      <c r="AE44" s="508">
        <v>-162.4</v>
      </c>
      <c r="AF44" s="508">
        <v>3.3</v>
      </c>
      <c r="AG44" s="505">
        <v>3.4</v>
      </c>
      <c r="AH44" s="212">
        <v>1.5</v>
      </c>
      <c r="AI44" s="508">
        <v>-4.8</v>
      </c>
      <c r="AJ44" s="508"/>
      <c r="AK44" s="505"/>
      <c r="AL44" s="212"/>
    </row>
    <row r="45" spans="1:38" s="12" customFormat="1" ht="20.100000000000001" customHeight="1" thickBot="1">
      <c r="A45" s="48" t="s">
        <v>177</v>
      </c>
      <c r="B45" s="669" t="s">
        <v>340</v>
      </c>
      <c r="C45" s="278">
        <f>340.065</f>
        <v>340.065</v>
      </c>
      <c r="D45" s="278">
        <f>(882007)*0.001</f>
        <v>882.00700000000006</v>
      </c>
      <c r="E45" s="287">
        <f>(1054069)*0.001</f>
        <v>1054.069</v>
      </c>
      <c r="F45" s="288">
        <f>(1175693)*0.001</f>
        <v>1175.693</v>
      </c>
      <c r="G45" s="287">
        <f>(1270798)*0.001</f>
        <v>1270.798</v>
      </c>
      <c r="H45" s="287">
        <f>(1351543)*0.001</f>
        <v>1351.5430000000001</v>
      </c>
      <c r="I45" s="287">
        <f>(1527994)*0.001</f>
        <v>1527.9940000000001</v>
      </c>
      <c r="J45" s="288">
        <f>(1701138)*0.001</f>
        <v>1701.1380000000001</v>
      </c>
      <c r="K45" s="287">
        <f>(1799310)*0.001</f>
        <v>1799.31</v>
      </c>
      <c r="L45" s="58">
        <v>1828.6</v>
      </c>
      <c r="M45" s="58">
        <v>1876.8</v>
      </c>
      <c r="N45" s="93">
        <v>1890.8</v>
      </c>
      <c r="O45" s="58">
        <v>2061.6</v>
      </c>
      <c r="P45" s="58">
        <v>2366.1</v>
      </c>
      <c r="Q45" s="58">
        <v>2868.6</v>
      </c>
      <c r="R45" s="212">
        <v>3054.2</v>
      </c>
      <c r="S45" s="260">
        <v>3229.7</v>
      </c>
      <c r="T45" s="260">
        <v>3467.4</v>
      </c>
      <c r="U45" s="260">
        <v>3745.6</v>
      </c>
      <c r="V45" s="212">
        <v>4095.5</v>
      </c>
      <c r="W45" s="260">
        <v>4374.8999999999996</v>
      </c>
      <c r="X45" s="260">
        <v>4461.3999999999996</v>
      </c>
      <c r="Y45" s="260">
        <v>4704.3</v>
      </c>
      <c r="Z45" s="212">
        <v>4871.3999999999996</v>
      </c>
      <c r="AA45" s="500">
        <v>5668.6</v>
      </c>
      <c r="AB45" s="500">
        <v>5904.4</v>
      </c>
      <c r="AC45" s="497">
        <v>6130.5</v>
      </c>
      <c r="AD45" s="212">
        <v>6189.9</v>
      </c>
      <c r="AE45" s="508">
        <v>6481.8</v>
      </c>
      <c r="AF45" s="508">
        <v>6065.1</v>
      </c>
      <c r="AG45" s="505">
        <v>6296.4</v>
      </c>
      <c r="AH45" s="212">
        <v>6610.2</v>
      </c>
      <c r="AI45" s="508">
        <v>6792.6</v>
      </c>
      <c r="AJ45" s="508"/>
      <c r="AK45" s="505"/>
      <c r="AL45" s="212"/>
    </row>
    <row r="46" spans="1:38" s="15" customFormat="1" ht="24.95" customHeight="1" thickBot="1">
      <c r="A46" s="13" t="s">
        <v>71</v>
      </c>
      <c r="B46" s="675" t="s">
        <v>341</v>
      </c>
      <c r="C46" s="51">
        <f t="shared" ref="C46:D46" si="18">SUM(C38:C45)</f>
        <v>2090.7669999999998</v>
      </c>
      <c r="D46" s="51">
        <f t="shared" si="18"/>
        <v>2192.2690000000002</v>
      </c>
      <c r="E46" s="51">
        <f t="shared" ref="E46:I46" si="19">SUM(E38:E45)</f>
        <v>2354.915</v>
      </c>
      <c r="F46" s="51">
        <f t="shared" si="19"/>
        <v>2468.4030000000002</v>
      </c>
      <c r="G46" s="51">
        <f t="shared" si="19"/>
        <v>2562.1680000000001</v>
      </c>
      <c r="H46" s="51">
        <f t="shared" si="19"/>
        <v>2647.2950000000001</v>
      </c>
      <c r="I46" s="51">
        <f t="shared" si="19"/>
        <v>2825.576</v>
      </c>
      <c r="J46" s="51">
        <f t="shared" ref="J46:K46" si="20">SUM(J38:J45)</f>
        <v>3001.2110000000002</v>
      </c>
      <c r="K46" s="51">
        <f t="shared" si="20"/>
        <v>3108.3469999999998</v>
      </c>
      <c r="L46" s="51">
        <f t="shared" ref="L46:R46" si="21">SUM(L38:L45)</f>
        <v>9091.7000000000007</v>
      </c>
      <c r="M46" s="51">
        <f t="shared" si="21"/>
        <v>9130.7000000000007</v>
      </c>
      <c r="N46" s="74">
        <f t="shared" si="21"/>
        <v>9078.2000000000007</v>
      </c>
      <c r="O46" s="52">
        <f t="shared" si="21"/>
        <v>9311.9</v>
      </c>
      <c r="P46" s="52">
        <f t="shared" si="21"/>
        <v>9557.8000000000011</v>
      </c>
      <c r="Q46" s="52">
        <f t="shared" si="21"/>
        <v>10060</v>
      </c>
      <c r="R46" s="217">
        <f t="shared" si="21"/>
        <v>10250.1</v>
      </c>
      <c r="S46" s="255">
        <f t="shared" ref="S46:Z46" si="22">SUM(S38:S45)</f>
        <v>10427.6</v>
      </c>
      <c r="T46" s="255">
        <f t="shared" si="22"/>
        <v>10667.1</v>
      </c>
      <c r="U46" s="255">
        <f t="shared" si="22"/>
        <v>10947.4</v>
      </c>
      <c r="V46" s="217">
        <f t="shared" si="22"/>
        <v>11299.6</v>
      </c>
      <c r="W46" s="255">
        <f t="shared" si="22"/>
        <v>11578.3</v>
      </c>
      <c r="X46" s="255">
        <f t="shared" si="22"/>
        <v>11664.6</v>
      </c>
      <c r="Y46" s="255">
        <f t="shared" si="22"/>
        <v>11907.400000000001</v>
      </c>
      <c r="Z46" s="217">
        <f t="shared" si="22"/>
        <v>12074.2</v>
      </c>
      <c r="AA46" s="255">
        <f t="shared" ref="AA46:AC46" si="23">SUM(AA38:AA45)</f>
        <v>12871</v>
      </c>
      <c r="AB46" s="255">
        <f t="shared" si="23"/>
        <v>12899.7</v>
      </c>
      <c r="AC46" s="255">
        <f t="shared" si="23"/>
        <v>13126</v>
      </c>
      <c r="AD46" s="217">
        <f>SUM(AD38:AD45)</f>
        <v>13227</v>
      </c>
      <c r="AE46" s="507">
        <f>SUM(AE38:AE45)</f>
        <v>13519</v>
      </c>
      <c r="AF46" s="507">
        <f t="shared" ref="AF46:AG46" si="24">SUM(AF38:AF45)</f>
        <v>13268</v>
      </c>
      <c r="AG46" s="507">
        <f t="shared" si="24"/>
        <v>13499.4</v>
      </c>
      <c r="AH46" s="217">
        <f>SUM(AH38:AH45)</f>
        <v>13811.3</v>
      </c>
      <c r="AI46" s="507">
        <f>SUM(AI38:AI45)</f>
        <v>13987.400000000001</v>
      </c>
      <c r="AJ46" s="507">
        <f t="shared" ref="AJ46:AK46" si="25">SUM(AJ38:AJ45)</f>
        <v>0</v>
      </c>
      <c r="AK46" s="507">
        <f t="shared" si="25"/>
        <v>0</v>
      </c>
      <c r="AL46" s="217">
        <f>SUM(AL38:AL45)</f>
        <v>0</v>
      </c>
    </row>
    <row r="47" spans="1:38" s="15" customFormat="1" ht="20.100000000000001" customHeight="1" thickBot="1">
      <c r="A47" s="67" t="s">
        <v>70</v>
      </c>
      <c r="B47" s="678" t="s">
        <v>342</v>
      </c>
      <c r="C47" s="41">
        <v>0</v>
      </c>
      <c r="D47" s="41">
        <v>0</v>
      </c>
      <c r="E47" s="41">
        <v>0</v>
      </c>
      <c r="F47" s="90">
        <v>0</v>
      </c>
      <c r="G47" s="41">
        <v>0</v>
      </c>
      <c r="H47" s="41">
        <v>0</v>
      </c>
      <c r="I47" s="289">
        <f>2/1000</f>
        <v>2E-3</v>
      </c>
      <c r="J47" s="290">
        <f>2/1000</f>
        <v>2E-3</v>
      </c>
      <c r="K47" s="291">
        <f>2/1000</f>
        <v>2E-3</v>
      </c>
      <c r="L47" s="45">
        <v>0</v>
      </c>
      <c r="M47" s="45">
        <v>0</v>
      </c>
      <c r="N47" s="90">
        <v>0</v>
      </c>
      <c r="O47" s="45">
        <v>0</v>
      </c>
      <c r="P47" s="45">
        <v>0</v>
      </c>
      <c r="Q47" s="45">
        <v>0</v>
      </c>
      <c r="R47" s="218">
        <v>0</v>
      </c>
      <c r="S47" s="261">
        <v>-22.4</v>
      </c>
      <c r="T47" s="261">
        <v>94.5</v>
      </c>
      <c r="U47" s="261">
        <v>86.1</v>
      </c>
      <c r="V47" s="390">
        <v>78</v>
      </c>
      <c r="W47" s="261">
        <v>70</v>
      </c>
      <c r="X47" s="261">
        <v>60.5</v>
      </c>
      <c r="Y47" s="261">
        <v>52.5</v>
      </c>
      <c r="Z47" s="390">
        <v>42.6</v>
      </c>
      <c r="AA47" s="501">
        <v>34</v>
      </c>
      <c r="AB47" s="501">
        <v>554.29999999999995</v>
      </c>
      <c r="AC47" s="501">
        <v>555.29999999999995</v>
      </c>
      <c r="AD47" s="390">
        <v>648.20000000000005</v>
      </c>
      <c r="AE47" s="501">
        <v>653.6</v>
      </c>
      <c r="AF47" s="501">
        <v>650.5</v>
      </c>
      <c r="AG47" s="501">
        <v>655.7</v>
      </c>
      <c r="AH47" s="390">
        <v>653.20000000000005</v>
      </c>
      <c r="AI47" s="501">
        <v>652.6</v>
      </c>
      <c r="AJ47" s="501"/>
      <c r="AK47" s="501"/>
      <c r="AL47" s="390"/>
    </row>
    <row r="48" spans="1:38" s="15" customFormat="1" ht="24.95" customHeight="1" thickBot="1">
      <c r="A48" s="13" t="s">
        <v>18</v>
      </c>
      <c r="B48" s="675" t="s">
        <v>343</v>
      </c>
      <c r="C48" s="52">
        <f t="shared" ref="C48" si="26">C46+C47</f>
        <v>2090.7669999999998</v>
      </c>
      <c r="D48" s="52">
        <f t="shared" ref="D48" si="27">D46+D47</f>
        <v>2192.2690000000002</v>
      </c>
      <c r="E48" s="52">
        <f t="shared" ref="E48" si="28">E46+E47</f>
        <v>2354.915</v>
      </c>
      <c r="F48" s="74">
        <f t="shared" ref="F48:H48" si="29">F46</f>
        <v>2468.4030000000002</v>
      </c>
      <c r="G48" s="52">
        <f t="shared" si="29"/>
        <v>2562.1680000000001</v>
      </c>
      <c r="H48" s="52">
        <f t="shared" si="29"/>
        <v>2647.2950000000001</v>
      </c>
      <c r="I48" s="52">
        <f>SUM(I46:I47)</f>
        <v>2825.578</v>
      </c>
      <c r="J48" s="52">
        <f t="shared" ref="J48:P48" si="30">J46+J47</f>
        <v>3001.2130000000002</v>
      </c>
      <c r="K48" s="275">
        <f t="shared" si="30"/>
        <v>3108.3489999999997</v>
      </c>
      <c r="L48" s="51">
        <f t="shared" si="30"/>
        <v>9091.7000000000007</v>
      </c>
      <c r="M48" s="51">
        <f t="shared" si="30"/>
        <v>9130.7000000000007</v>
      </c>
      <c r="N48" s="74">
        <f t="shared" si="30"/>
        <v>9078.2000000000007</v>
      </c>
      <c r="O48" s="52">
        <f t="shared" si="30"/>
        <v>9311.9</v>
      </c>
      <c r="P48" s="52">
        <f t="shared" si="30"/>
        <v>9557.8000000000011</v>
      </c>
      <c r="Q48" s="52">
        <f t="shared" ref="Q48:S48" si="31">Q46+Q47</f>
        <v>10060</v>
      </c>
      <c r="R48" s="217">
        <f t="shared" si="31"/>
        <v>10250.1</v>
      </c>
      <c r="S48" s="255">
        <f t="shared" si="31"/>
        <v>10405.200000000001</v>
      </c>
      <c r="T48" s="255">
        <f t="shared" ref="T48:Z48" si="32">T46+T47</f>
        <v>10761.6</v>
      </c>
      <c r="U48" s="255">
        <f t="shared" si="32"/>
        <v>11033.5</v>
      </c>
      <c r="V48" s="217">
        <f t="shared" si="32"/>
        <v>11377.6</v>
      </c>
      <c r="W48" s="255">
        <f t="shared" si="32"/>
        <v>11648.3</v>
      </c>
      <c r="X48" s="255">
        <f t="shared" si="32"/>
        <v>11725.1</v>
      </c>
      <c r="Y48" s="255">
        <f t="shared" si="32"/>
        <v>11959.900000000001</v>
      </c>
      <c r="Z48" s="217">
        <f t="shared" si="32"/>
        <v>12116.800000000001</v>
      </c>
      <c r="AA48" s="255">
        <f t="shared" ref="AA48:AD48" si="33">AA46+AA47</f>
        <v>12905</v>
      </c>
      <c r="AB48" s="255">
        <f t="shared" si="33"/>
        <v>13454</v>
      </c>
      <c r="AC48" s="255">
        <f t="shared" si="33"/>
        <v>13681.3</v>
      </c>
      <c r="AD48" s="217">
        <f t="shared" si="33"/>
        <v>13875.2</v>
      </c>
      <c r="AE48" s="507">
        <f t="shared" ref="AE48:AH48" si="34">AE46+AE47</f>
        <v>14172.6</v>
      </c>
      <c r="AF48" s="507">
        <f t="shared" si="34"/>
        <v>13918.5</v>
      </c>
      <c r="AG48" s="507">
        <f t="shared" si="34"/>
        <v>14155.1</v>
      </c>
      <c r="AH48" s="217">
        <f t="shared" si="34"/>
        <v>14464.5</v>
      </c>
      <c r="AI48" s="507">
        <f t="shared" ref="AI48:AL48" si="35">AI46+AI47</f>
        <v>14640.000000000002</v>
      </c>
      <c r="AJ48" s="507">
        <f t="shared" si="35"/>
        <v>0</v>
      </c>
      <c r="AK48" s="507">
        <f t="shared" si="35"/>
        <v>0</v>
      </c>
      <c r="AL48" s="217">
        <f t="shared" si="35"/>
        <v>0</v>
      </c>
    </row>
    <row r="49" spans="1:38" s="12" customFormat="1" ht="20.100000000000001" customHeight="1">
      <c r="A49" s="48" t="s">
        <v>19</v>
      </c>
      <c r="B49" s="669" t="s">
        <v>344</v>
      </c>
      <c r="C49" s="59">
        <f>932.068</f>
        <v>932.06799999999998</v>
      </c>
      <c r="D49" s="59">
        <f>(889155)*0.001</f>
        <v>889.15499999999997</v>
      </c>
      <c r="E49" s="59">
        <f>(680371)*0.001</f>
        <v>680.37099999999998</v>
      </c>
      <c r="F49" s="272">
        <f>(592003)*0.001</f>
        <v>592.00300000000004</v>
      </c>
      <c r="G49" s="59">
        <f>(572819)*0.001</f>
        <v>572.81899999999996</v>
      </c>
      <c r="H49" s="59">
        <f>(422858)*0.001</f>
        <v>422.858</v>
      </c>
      <c r="I49" s="59">
        <f>(329798)*0.001</f>
        <v>329.798</v>
      </c>
      <c r="J49" s="273">
        <f>(239889)*0.001</f>
        <v>239.88900000000001</v>
      </c>
      <c r="K49" s="274">
        <f>(236277)*0.001</f>
        <v>236.27700000000002</v>
      </c>
      <c r="L49" s="32">
        <v>8446.1</v>
      </c>
      <c r="M49" s="32">
        <v>7976.3</v>
      </c>
      <c r="N49" s="91">
        <v>7683.5</v>
      </c>
      <c r="O49" s="58">
        <v>7357.9</v>
      </c>
      <c r="P49" s="58">
        <v>7034.6</v>
      </c>
      <c r="Q49" s="32">
        <v>5644.9</v>
      </c>
      <c r="R49" s="218">
        <v>5379.8</v>
      </c>
      <c r="S49" s="260">
        <v>9982.1</v>
      </c>
      <c r="T49" s="260">
        <v>9752</v>
      </c>
      <c r="U49" s="260">
        <v>9530.2999999999993</v>
      </c>
      <c r="V49" s="218">
        <v>9302.7000000000007</v>
      </c>
      <c r="W49" s="260">
        <v>9056</v>
      </c>
      <c r="X49" s="260">
        <v>8808.6</v>
      </c>
      <c r="Y49" s="260">
        <v>8561.9</v>
      </c>
      <c r="Z49" s="218">
        <v>9291.4</v>
      </c>
      <c r="AA49" s="504">
        <v>9474.7000000000007</v>
      </c>
      <c r="AB49" s="504">
        <v>9139.4</v>
      </c>
      <c r="AC49" s="502">
        <v>9043.7999999999993</v>
      </c>
      <c r="AD49" s="218">
        <v>8605.2999999999993</v>
      </c>
      <c r="AE49" s="508">
        <v>8339.7999999999993</v>
      </c>
      <c r="AF49" s="508">
        <v>8100.2</v>
      </c>
      <c r="AG49" s="508">
        <v>7861.1</v>
      </c>
      <c r="AH49" s="218">
        <v>8617</v>
      </c>
      <c r="AI49" s="508">
        <v>8453.4</v>
      </c>
      <c r="AJ49" s="508"/>
      <c r="AK49" s="508"/>
      <c r="AL49" s="218"/>
    </row>
    <row r="50" spans="1:38" s="12" customFormat="1" ht="20.100000000000001" customHeight="1">
      <c r="A50" s="48" t="s">
        <v>84</v>
      </c>
      <c r="B50" s="669" t="s">
        <v>345</v>
      </c>
      <c r="C50" s="32">
        <f>1360.637</f>
        <v>1360.6369999999999</v>
      </c>
      <c r="D50" s="32">
        <f>(1369593)*0.001</f>
        <v>1369.5930000000001</v>
      </c>
      <c r="E50" s="32">
        <f>(1347224)*0.001</f>
        <v>1347.2239999999999</v>
      </c>
      <c r="F50" s="80">
        <f>(1316479)*0.001</f>
        <v>1316.479</v>
      </c>
      <c r="G50" s="32">
        <f>(1370119)*0.001</f>
        <v>1370.1190000000001</v>
      </c>
      <c r="H50" s="32">
        <f>(1395972)*0.001</f>
        <v>1395.972</v>
      </c>
      <c r="I50" s="32">
        <f>(1385314)*0.001</f>
        <v>1385.3140000000001</v>
      </c>
      <c r="J50" s="80">
        <f>(1340010)*0.001</f>
        <v>1340.01</v>
      </c>
      <c r="K50" s="32">
        <f>(1396071)*0.001</f>
        <v>1396.0710000000001</v>
      </c>
      <c r="L50" s="32">
        <v>4286.8999999999996</v>
      </c>
      <c r="M50" s="32">
        <v>4302.1000000000004</v>
      </c>
      <c r="N50" s="91">
        <v>4550.2</v>
      </c>
      <c r="O50" s="58">
        <v>4470</v>
      </c>
      <c r="P50" s="58">
        <v>4582.5</v>
      </c>
      <c r="Q50" s="32">
        <v>964.4</v>
      </c>
      <c r="R50" s="218">
        <v>975.3</v>
      </c>
      <c r="S50" s="260">
        <v>2252.6</v>
      </c>
      <c r="T50" s="260">
        <v>1795.1</v>
      </c>
      <c r="U50" s="260">
        <v>1805.1</v>
      </c>
      <c r="V50" s="218">
        <v>1835.7</v>
      </c>
      <c r="W50" s="260">
        <v>964.9</v>
      </c>
      <c r="X50" s="260">
        <v>975.3</v>
      </c>
      <c r="Y50" s="260">
        <v>965.2</v>
      </c>
      <c r="Z50" s="218">
        <v>975.7</v>
      </c>
      <c r="AA50" s="504">
        <v>965.2</v>
      </c>
      <c r="AB50" s="504">
        <v>975.5</v>
      </c>
      <c r="AC50" s="502">
        <v>965.6</v>
      </c>
      <c r="AD50" s="218">
        <v>976</v>
      </c>
      <c r="AE50" s="508">
        <v>965.5</v>
      </c>
      <c r="AF50" s="508">
        <v>968.9</v>
      </c>
      <c r="AG50" s="508">
        <v>977.7</v>
      </c>
      <c r="AH50" s="218">
        <v>969.2</v>
      </c>
      <c r="AI50" s="508">
        <v>1950.7</v>
      </c>
      <c r="AJ50" s="508"/>
      <c r="AK50" s="508"/>
      <c r="AL50" s="218"/>
    </row>
    <row r="51" spans="1:38" s="12" customFormat="1" ht="20.100000000000001" customHeight="1">
      <c r="A51" s="600" t="s">
        <v>217</v>
      </c>
      <c r="B51" s="671" t="s">
        <v>346</v>
      </c>
      <c r="C51" s="59">
        <f>0.81</f>
        <v>0.81</v>
      </c>
      <c r="D51" s="59">
        <f>(741)*0.001</f>
        <v>0.74099999999999999</v>
      </c>
      <c r="E51" s="59">
        <f>(638)*0.001</f>
        <v>0.63800000000000001</v>
      </c>
      <c r="F51" s="272">
        <f>(551)*0.001</f>
        <v>0.55100000000000005</v>
      </c>
      <c r="G51" s="59">
        <f>(474)*0.001</f>
        <v>0.47400000000000003</v>
      </c>
      <c r="H51" s="59">
        <f>(424)*0.001</f>
        <v>0.42399999999999999</v>
      </c>
      <c r="I51" s="59">
        <f>(306)*0.001</f>
        <v>0.30599999999999999</v>
      </c>
      <c r="J51" s="273">
        <f>(227)*0.001</f>
        <v>0.22700000000000001</v>
      </c>
      <c r="K51" s="274">
        <f>(166)*0.001</f>
        <v>0.16600000000000001</v>
      </c>
      <c r="L51" s="31">
        <v>4.5</v>
      </c>
      <c r="M51" s="31">
        <v>7.9</v>
      </c>
      <c r="N51" s="93">
        <v>11.7</v>
      </c>
      <c r="O51" s="60">
        <v>13.4</v>
      </c>
      <c r="P51" s="60">
        <v>15.7</v>
      </c>
      <c r="Q51" s="31">
        <v>21.3</v>
      </c>
      <c r="R51" s="218">
        <v>20.9</v>
      </c>
      <c r="S51" s="251">
        <v>21.2</v>
      </c>
      <c r="T51" s="251">
        <v>23.3</v>
      </c>
      <c r="U51" s="251">
        <v>22.1</v>
      </c>
      <c r="V51" s="218">
        <v>20.9</v>
      </c>
      <c r="W51" s="251">
        <v>22.6</v>
      </c>
      <c r="X51" s="251">
        <v>21.4</v>
      </c>
      <c r="Y51" s="251">
        <v>19.399999999999999</v>
      </c>
      <c r="Z51" s="218">
        <v>18.600000000000001</v>
      </c>
      <c r="AA51" s="502">
        <v>17.3</v>
      </c>
      <c r="AB51" s="502">
        <v>14.6</v>
      </c>
      <c r="AC51" s="502">
        <v>15</v>
      </c>
      <c r="AD51" s="218">
        <v>15.8</v>
      </c>
      <c r="AE51" s="505">
        <v>1070</v>
      </c>
      <c r="AF51" s="505">
        <v>997.6</v>
      </c>
      <c r="AG51" s="508">
        <v>946.9</v>
      </c>
      <c r="AH51" s="218">
        <v>1023.8</v>
      </c>
      <c r="AI51" s="505">
        <v>986.2</v>
      </c>
      <c r="AJ51" s="505"/>
      <c r="AK51" s="508"/>
      <c r="AL51" s="218"/>
    </row>
    <row r="52" spans="1:38" s="12" customFormat="1" ht="20.100000000000001" customHeight="1">
      <c r="A52" s="48" t="s">
        <v>162</v>
      </c>
      <c r="B52" s="669" t="s">
        <v>347</v>
      </c>
      <c r="C52" s="33">
        <f>0*($A$77)</f>
        <v>0</v>
      </c>
      <c r="D52" s="33">
        <f>0</f>
        <v>0</v>
      </c>
      <c r="E52" s="33">
        <f>0</f>
        <v>0</v>
      </c>
      <c r="F52" s="97">
        <v>0</v>
      </c>
      <c r="G52" s="33">
        <v>0</v>
      </c>
      <c r="H52" s="33">
        <f>0</f>
        <v>0</v>
      </c>
      <c r="I52" s="33">
        <v>0</v>
      </c>
      <c r="J52" s="72">
        <v>0</v>
      </c>
      <c r="K52" s="81">
        <v>0</v>
      </c>
      <c r="L52" s="31">
        <v>835.8</v>
      </c>
      <c r="M52" s="31">
        <v>730.2</v>
      </c>
      <c r="N52" s="93">
        <v>750.3</v>
      </c>
      <c r="O52" s="60">
        <v>724.4</v>
      </c>
      <c r="P52" s="60">
        <v>747.9</v>
      </c>
      <c r="Q52" s="31">
        <v>645.1</v>
      </c>
      <c r="R52" s="218">
        <v>652.79999999999995</v>
      </c>
      <c r="S52" s="251">
        <v>658</v>
      </c>
      <c r="T52" s="251">
        <v>686.7</v>
      </c>
      <c r="U52" s="251">
        <v>555.79999999999995</v>
      </c>
      <c r="V52" s="218">
        <v>574</v>
      </c>
      <c r="W52" s="251">
        <v>551</v>
      </c>
      <c r="X52" s="251">
        <v>555.4</v>
      </c>
      <c r="Y52" s="251">
        <v>452.4</v>
      </c>
      <c r="Z52" s="218">
        <v>440.8</v>
      </c>
      <c r="AA52" s="502">
        <v>447.6</v>
      </c>
      <c r="AB52" s="502">
        <v>466.9</v>
      </c>
      <c r="AC52" s="502">
        <v>343.6</v>
      </c>
      <c r="AD52" s="218">
        <v>348.2</v>
      </c>
      <c r="AE52" s="505">
        <v>350.5</v>
      </c>
      <c r="AF52" s="505">
        <v>348.8</v>
      </c>
      <c r="AG52" s="508">
        <v>241.7</v>
      </c>
      <c r="AH52" s="218">
        <v>236.9</v>
      </c>
      <c r="AI52" s="505">
        <v>254.9</v>
      </c>
      <c r="AJ52" s="505"/>
      <c r="AK52" s="508"/>
      <c r="AL52" s="218"/>
    </row>
    <row r="53" spans="1:38" s="12" customFormat="1" ht="20.100000000000001" customHeight="1">
      <c r="A53" s="48" t="s">
        <v>20</v>
      </c>
      <c r="B53" s="669" t="s">
        <v>348</v>
      </c>
      <c r="C53" s="278">
        <f>87.307</f>
        <v>87.307000000000002</v>
      </c>
      <c r="D53" s="278">
        <f>(88480)*0.001</f>
        <v>88.48</v>
      </c>
      <c r="E53" s="278">
        <f>(97271)*0.001</f>
        <v>97.271000000000001</v>
      </c>
      <c r="F53" s="279">
        <f>(94258)*0.001</f>
        <v>94.257999999999996</v>
      </c>
      <c r="G53" s="278">
        <f>(93487)*0.001</f>
        <v>93.487000000000009</v>
      </c>
      <c r="H53" s="278">
        <f>(93150)*0.001</f>
        <v>93.15</v>
      </c>
      <c r="I53" s="278">
        <f>(98799)*0.001</f>
        <v>98.799000000000007</v>
      </c>
      <c r="J53" s="280">
        <f>(108066)*0.001</f>
        <v>108.066</v>
      </c>
      <c r="K53" s="281">
        <f>(95950)*0.001</f>
        <v>95.95</v>
      </c>
      <c r="L53" s="32">
        <v>1010.7</v>
      </c>
      <c r="M53" s="32">
        <v>1038.8</v>
      </c>
      <c r="N53" s="93">
        <v>908.7</v>
      </c>
      <c r="O53" s="60">
        <v>888.6</v>
      </c>
      <c r="P53" s="60">
        <v>821.1</v>
      </c>
      <c r="Q53" s="32">
        <v>770.4</v>
      </c>
      <c r="R53" s="218">
        <v>615.79999999999995</v>
      </c>
      <c r="S53" s="251">
        <v>694.4</v>
      </c>
      <c r="T53" s="251">
        <v>889.1</v>
      </c>
      <c r="U53" s="251">
        <v>923.2</v>
      </c>
      <c r="V53" s="218">
        <v>786.9</v>
      </c>
      <c r="W53" s="251">
        <v>812.3</v>
      </c>
      <c r="X53" s="251">
        <v>775.7</v>
      </c>
      <c r="Y53" s="251">
        <v>771.8</v>
      </c>
      <c r="Z53" s="218">
        <v>879.8</v>
      </c>
      <c r="AA53" s="502">
        <v>1034.8</v>
      </c>
      <c r="AB53" s="502">
        <v>1027.8</v>
      </c>
      <c r="AC53" s="502">
        <v>1006.2</v>
      </c>
      <c r="AD53" s="218">
        <v>1160.0999999999999</v>
      </c>
      <c r="AE53" s="505">
        <v>1132</v>
      </c>
      <c r="AF53" s="505">
        <v>1129.8</v>
      </c>
      <c r="AG53" s="508">
        <v>1086.0999999999999</v>
      </c>
      <c r="AH53" s="218">
        <v>1025.3</v>
      </c>
      <c r="AI53" s="505">
        <v>950.2</v>
      </c>
      <c r="AJ53" s="505"/>
      <c r="AK53" s="508"/>
      <c r="AL53" s="218"/>
    </row>
    <row r="54" spans="1:38" s="12" customFormat="1" ht="20.100000000000001" customHeight="1">
      <c r="A54" s="48" t="s">
        <v>163</v>
      </c>
      <c r="B54" s="669" t="s">
        <v>349</v>
      </c>
      <c r="C54" s="41">
        <v>0</v>
      </c>
      <c r="D54" s="278">
        <f>(6285)*0.001</f>
        <v>6.2850000000000001</v>
      </c>
      <c r="E54" s="278">
        <f>(5716)*0.001</f>
        <v>5.7160000000000002</v>
      </c>
      <c r="F54" s="279">
        <f>(5181)*0.001</f>
        <v>5.181</v>
      </c>
      <c r="G54" s="278">
        <f>(4978)*0.001</f>
        <v>4.9779999999999998</v>
      </c>
      <c r="H54" s="278">
        <f>(4754)*0.001</f>
        <v>4.7540000000000004</v>
      </c>
      <c r="I54" s="278">
        <f>(4303)*0.001</f>
        <v>4.3029999999999999</v>
      </c>
      <c r="J54" s="280">
        <f>(4079)*0.001</f>
        <v>4.0789999999999997</v>
      </c>
      <c r="K54" s="281">
        <f>(3008)*0.001</f>
        <v>3.008</v>
      </c>
      <c r="L54" s="31">
        <v>2.8</v>
      </c>
      <c r="M54" s="31">
        <v>3.9</v>
      </c>
      <c r="N54" s="93">
        <v>4.7</v>
      </c>
      <c r="O54" s="60">
        <v>5.5</v>
      </c>
      <c r="P54" s="60">
        <v>5</v>
      </c>
      <c r="Q54" s="31">
        <v>4.5</v>
      </c>
      <c r="R54" s="218">
        <v>4.7</v>
      </c>
      <c r="S54" s="251">
        <v>22.1</v>
      </c>
      <c r="T54" s="251">
        <v>21</v>
      </c>
      <c r="U54" s="251">
        <v>20.100000000000001</v>
      </c>
      <c r="V54" s="218">
        <v>20.100000000000001</v>
      </c>
      <c r="W54" s="251">
        <v>4</v>
      </c>
      <c r="X54" s="251">
        <v>3.8</v>
      </c>
      <c r="Y54" s="251">
        <v>3.4</v>
      </c>
      <c r="Z54" s="218">
        <v>3.2</v>
      </c>
      <c r="AA54" s="502">
        <v>0</v>
      </c>
      <c r="AB54" s="502">
        <v>0</v>
      </c>
      <c r="AC54" s="502">
        <v>0</v>
      </c>
      <c r="AD54" s="218">
        <v>0</v>
      </c>
      <c r="AE54" s="505">
        <v>0</v>
      </c>
      <c r="AF54" s="505">
        <v>0</v>
      </c>
      <c r="AG54" s="508">
        <v>0</v>
      </c>
      <c r="AH54" s="218">
        <v>0</v>
      </c>
      <c r="AI54" s="505">
        <v>0</v>
      </c>
      <c r="AJ54" s="505">
        <v>0</v>
      </c>
      <c r="AK54" s="508">
        <v>0</v>
      </c>
      <c r="AL54" s="218">
        <v>0</v>
      </c>
    </row>
    <row r="55" spans="1:38" s="12" customFormat="1" ht="20.100000000000001" customHeight="1">
      <c r="A55" s="48" t="s">
        <v>21</v>
      </c>
      <c r="B55" s="669" t="s">
        <v>350</v>
      </c>
      <c r="C55" s="278">
        <f>13.779</f>
        <v>13.779</v>
      </c>
      <c r="D55" s="278">
        <f>(17835)*0.001</f>
        <v>17.835000000000001</v>
      </c>
      <c r="E55" s="278">
        <f>(19037)*0.001</f>
        <v>19.036999999999999</v>
      </c>
      <c r="F55" s="279">
        <f>(17690)*0.001</f>
        <v>17.690000000000001</v>
      </c>
      <c r="G55" s="278">
        <f>(17684)*0.001</f>
        <v>17.684000000000001</v>
      </c>
      <c r="H55" s="278">
        <f>(10154)*0.001</f>
        <v>10.154</v>
      </c>
      <c r="I55" s="278">
        <f>(8594)*0.001</f>
        <v>8.5939999999999994</v>
      </c>
      <c r="J55" s="280">
        <f>(7915)*0.001</f>
        <v>7.915</v>
      </c>
      <c r="K55" s="281">
        <f>(7828)*0.001</f>
        <v>7.8280000000000003</v>
      </c>
      <c r="L55" s="31">
        <v>158.19999999999999</v>
      </c>
      <c r="M55" s="31">
        <v>164.6</v>
      </c>
      <c r="N55" s="93">
        <v>184.2</v>
      </c>
      <c r="O55" s="60">
        <v>167.4</v>
      </c>
      <c r="P55" s="60">
        <v>132.4</v>
      </c>
      <c r="Q55" s="31">
        <v>133.1</v>
      </c>
      <c r="R55" s="218">
        <v>124.2</v>
      </c>
      <c r="S55" s="251">
        <v>157.30000000000001</v>
      </c>
      <c r="T55" s="251">
        <v>148.9</v>
      </c>
      <c r="U55" s="251">
        <v>148.19999999999999</v>
      </c>
      <c r="V55" s="218">
        <v>130.19999999999999</v>
      </c>
      <c r="W55" s="251">
        <v>128.1</v>
      </c>
      <c r="X55" s="251">
        <v>122</v>
      </c>
      <c r="Y55" s="251">
        <v>122.2</v>
      </c>
      <c r="Z55" s="218">
        <v>114.2</v>
      </c>
      <c r="AA55" s="502">
        <v>122.4</v>
      </c>
      <c r="AB55" s="502">
        <v>436.6</v>
      </c>
      <c r="AC55" s="502">
        <v>728.3</v>
      </c>
      <c r="AD55" s="218">
        <v>697.6</v>
      </c>
      <c r="AE55" s="505">
        <v>620.1</v>
      </c>
      <c r="AF55" s="505">
        <v>494</v>
      </c>
      <c r="AG55" s="508">
        <v>380.5</v>
      </c>
      <c r="AH55" s="218">
        <v>384.7</v>
      </c>
      <c r="AI55" s="505">
        <v>311.8</v>
      </c>
      <c r="AJ55" s="505"/>
      <c r="AK55" s="508"/>
      <c r="AL55" s="218"/>
    </row>
    <row r="56" spans="1:38" s="28" customFormat="1" ht="20.100000000000001" customHeight="1" thickBot="1">
      <c r="A56" s="53" t="s">
        <v>92</v>
      </c>
      <c r="B56" s="674" t="s">
        <v>351</v>
      </c>
      <c r="C56" s="33">
        <f>0*($A$77)</f>
        <v>0</v>
      </c>
      <c r="D56" s="33">
        <f>0</f>
        <v>0</v>
      </c>
      <c r="E56" s="33">
        <f>0</f>
        <v>0</v>
      </c>
      <c r="F56" s="97">
        <v>0</v>
      </c>
      <c r="G56" s="33">
        <v>0</v>
      </c>
      <c r="H56" s="33">
        <f>0</f>
        <v>0</v>
      </c>
      <c r="I56" s="33">
        <v>0</v>
      </c>
      <c r="J56" s="94">
        <v>0.1</v>
      </c>
      <c r="K56" s="81">
        <v>0</v>
      </c>
      <c r="L56" s="33">
        <f>0*($A$77)</f>
        <v>0</v>
      </c>
      <c r="M56" s="33">
        <f>0*($A$77)</f>
        <v>0</v>
      </c>
      <c r="N56" s="94">
        <v>40.1</v>
      </c>
      <c r="O56" s="61">
        <v>22.6</v>
      </c>
      <c r="P56" s="61">
        <v>2</v>
      </c>
      <c r="Q56" s="42">
        <v>1.9</v>
      </c>
      <c r="R56" s="218">
        <v>0</v>
      </c>
      <c r="S56" s="253">
        <v>1.1000000000000001</v>
      </c>
      <c r="T56" s="253">
        <v>0.9</v>
      </c>
      <c r="U56" s="253">
        <v>0</v>
      </c>
      <c r="V56" s="218">
        <v>0</v>
      </c>
      <c r="W56" s="253">
        <v>1.5</v>
      </c>
      <c r="X56" s="253">
        <v>1.7</v>
      </c>
      <c r="Y56" s="253">
        <v>1.3</v>
      </c>
      <c r="Z56" s="218">
        <v>0</v>
      </c>
      <c r="AA56" s="503">
        <v>2.2000000000000002</v>
      </c>
      <c r="AB56" s="503">
        <v>0.5</v>
      </c>
      <c r="AC56" s="506">
        <v>205</v>
      </c>
      <c r="AD56" s="218">
        <v>165.2</v>
      </c>
      <c r="AE56" s="506">
        <v>167.2</v>
      </c>
      <c r="AF56" s="506">
        <v>5.4</v>
      </c>
      <c r="AG56" s="506">
        <v>6.7</v>
      </c>
      <c r="AH56" s="218">
        <v>3.2</v>
      </c>
      <c r="AI56" s="506">
        <v>30.2</v>
      </c>
      <c r="AJ56" s="506"/>
      <c r="AK56" s="506"/>
      <c r="AL56" s="218"/>
    </row>
    <row r="57" spans="1:38" s="15" customFormat="1" ht="24.95" customHeight="1" thickBot="1">
      <c r="A57" s="13" t="s">
        <v>22</v>
      </c>
      <c r="B57" s="675" t="s">
        <v>352</v>
      </c>
      <c r="C57" s="52">
        <f t="shared" ref="C57" si="36">SUM(C49:C55)</f>
        <v>2394.6009999999997</v>
      </c>
      <c r="D57" s="52">
        <f t="shared" ref="D57" si="37">SUM(D49:D55)</f>
        <v>2372.0889999999999</v>
      </c>
      <c r="E57" s="52">
        <f t="shared" ref="E57" si="38">SUM(E49:E55)</f>
        <v>2150.2569999999996</v>
      </c>
      <c r="F57" s="74">
        <f t="shared" ref="F57:I57" si="39">SUM(F49:F55)</f>
        <v>2026.162</v>
      </c>
      <c r="G57" s="52">
        <f t="shared" si="39"/>
        <v>2059.5610000000001</v>
      </c>
      <c r="H57" s="52">
        <f t="shared" si="39"/>
        <v>1927.3119999999999</v>
      </c>
      <c r="I57" s="52">
        <f t="shared" si="39"/>
        <v>1827.1140000000003</v>
      </c>
      <c r="J57" s="52">
        <f t="shared" ref="J57:K57" si="40">SUM(J49:J55)</f>
        <v>1700.1859999999999</v>
      </c>
      <c r="K57" s="275">
        <f t="shared" si="40"/>
        <v>1739.3000000000002</v>
      </c>
      <c r="L57" s="51">
        <f t="shared" ref="L57:M57" si="41">SUM(L49:L55)</f>
        <v>14745</v>
      </c>
      <c r="M57" s="51">
        <f t="shared" si="41"/>
        <v>14223.800000000001</v>
      </c>
      <c r="N57" s="74">
        <f t="shared" ref="N57:S57" si="42">SUM(N49:N56)-N56</f>
        <v>14093.300000000003</v>
      </c>
      <c r="O57" s="52">
        <f t="shared" si="42"/>
        <v>13627.199999999999</v>
      </c>
      <c r="P57" s="52">
        <f t="shared" si="42"/>
        <v>13339.2</v>
      </c>
      <c r="Q57" s="52">
        <f t="shared" si="42"/>
        <v>8183.7</v>
      </c>
      <c r="R57" s="217">
        <f t="shared" si="42"/>
        <v>7773.5</v>
      </c>
      <c r="S57" s="255">
        <f t="shared" si="42"/>
        <v>13787.7</v>
      </c>
      <c r="T57" s="255">
        <f t="shared" ref="T57:U57" si="43">SUM(T49:T56)-T56</f>
        <v>13316.1</v>
      </c>
      <c r="U57" s="255">
        <f t="shared" si="43"/>
        <v>13004.800000000001</v>
      </c>
      <c r="V57" s="217">
        <f t="shared" ref="V57" si="44">SUM(V49:V56)-V56</f>
        <v>12670.500000000002</v>
      </c>
      <c r="W57" s="255">
        <f t="shared" ref="W57:Z57" si="45">SUM(W49:W56)-W56</f>
        <v>11538.9</v>
      </c>
      <c r="X57" s="255">
        <f t="shared" si="45"/>
        <v>11262.199999999999</v>
      </c>
      <c r="Y57" s="255">
        <f t="shared" si="45"/>
        <v>10896.3</v>
      </c>
      <c r="Z57" s="217">
        <f t="shared" si="45"/>
        <v>11723.7</v>
      </c>
      <c r="AA57" s="255">
        <f t="shared" ref="AA57:AE57" si="46">SUM(AA49:AA56)-AA56</f>
        <v>12062</v>
      </c>
      <c r="AB57" s="255">
        <f t="shared" si="46"/>
        <v>12060.8</v>
      </c>
      <c r="AC57" s="255">
        <f t="shared" si="46"/>
        <v>12102.5</v>
      </c>
      <c r="AD57" s="217">
        <f t="shared" si="46"/>
        <v>11803</v>
      </c>
      <c r="AE57" s="507">
        <f t="shared" si="46"/>
        <v>12477.9</v>
      </c>
      <c r="AF57" s="507">
        <f t="shared" ref="AF57:AI57" si="47">SUM(AF49:AF56)-AF56</f>
        <v>12039.3</v>
      </c>
      <c r="AG57" s="507">
        <f t="shared" si="47"/>
        <v>11494.000000000002</v>
      </c>
      <c r="AH57" s="217">
        <f t="shared" si="47"/>
        <v>12256.9</v>
      </c>
      <c r="AI57" s="507">
        <f t="shared" si="47"/>
        <v>12907.2</v>
      </c>
      <c r="AJ57" s="507">
        <f t="shared" ref="AJ57:AL57" si="48">SUM(AJ49:AJ56)-AJ56</f>
        <v>0</v>
      </c>
      <c r="AK57" s="507">
        <f t="shared" si="48"/>
        <v>0</v>
      </c>
      <c r="AL57" s="217">
        <f t="shared" si="48"/>
        <v>0</v>
      </c>
    </row>
    <row r="58" spans="1:38" s="12" customFormat="1" ht="20.100000000000001" customHeight="1">
      <c r="A58" s="48" t="s">
        <v>19</v>
      </c>
      <c r="B58" s="669" t="s">
        <v>344</v>
      </c>
      <c r="C58" s="278">
        <f>250.363</f>
        <v>250.363</v>
      </c>
      <c r="D58" s="278">
        <f>(265796)*0.001</f>
        <v>265.79599999999999</v>
      </c>
      <c r="E58" s="278">
        <f>(238676)*0.001</f>
        <v>238.67600000000002</v>
      </c>
      <c r="F58" s="279">
        <f>(275608)*0.001</f>
        <v>275.608</v>
      </c>
      <c r="G58" s="278">
        <f>(250329)*0.001</f>
        <v>250.32900000000001</v>
      </c>
      <c r="H58" s="278">
        <f>(263389)*0.001</f>
        <v>263.38900000000001</v>
      </c>
      <c r="I58" s="278">
        <f>(214673)*0.001</f>
        <v>214.673</v>
      </c>
      <c r="J58" s="280">
        <f>(245994)*0.001</f>
        <v>245.994</v>
      </c>
      <c r="K58" s="281">
        <f>(240921)*0.001</f>
        <v>240.92099999999999</v>
      </c>
      <c r="L58" s="32">
        <v>1094.3</v>
      </c>
      <c r="M58" s="32">
        <v>1365.1</v>
      </c>
      <c r="N58" s="91">
        <v>1322.6</v>
      </c>
      <c r="O58" s="58">
        <v>1543.9</v>
      </c>
      <c r="P58" s="58">
        <v>1169.9000000000001</v>
      </c>
      <c r="Q58" s="32">
        <v>963.7</v>
      </c>
      <c r="R58" s="218">
        <v>1230.9000000000001</v>
      </c>
      <c r="S58" s="260">
        <v>1593</v>
      </c>
      <c r="T58" s="260">
        <v>1251.3</v>
      </c>
      <c r="U58" s="260">
        <v>1269.4000000000001</v>
      </c>
      <c r="V58" s="218">
        <v>1270</v>
      </c>
      <c r="W58" s="260">
        <v>1286.8</v>
      </c>
      <c r="X58" s="260">
        <v>1805.9</v>
      </c>
      <c r="Y58" s="260">
        <v>1824.8</v>
      </c>
      <c r="Z58" s="218">
        <v>1341.9</v>
      </c>
      <c r="AA58" s="508">
        <v>552.9</v>
      </c>
      <c r="AB58" s="508">
        <v>1074.7</v>
      </c>
      <c r="AC58" s="505">
        <v>1368.9</v>
      </c>
      <c r="AD58" s="218">
        <v>1611.3</v>
      </c>
      <c r="AE58" s="508">
        <v>1298.2</v>
      </c>
      <c r="AF58" s="508">
        <v>1279</v>
      </c>
      <c r="AG58" s="508">
        <v>1748.5</v>
      </c>
      <c r="AH58" s="218">
        <v>1892.5</v>
      </c>
      <c r="AI58" s="508">
        <v>1241.5999999999999</v>
      </c>
      <c r="AJ58" s="508"/>
      <c r="AK58" s="508"/>
      <c r="AL58" s="218"/>
    </row>
    <row r="59" spans="1:38" s="12" customFormat="1" ht="20.100000000000001" customHeight="1">
      <c r="A59" s="48" t="s">
        <v>84</v>
      </c>
      <c r="B59" s="669" t="s">
        <v>345</v>
      </c>
      <c r="C59" s="278">
        <f>100.836</f>
        <v>100.836</v>
      </c>
      <c r="D59" s="278">
        <f>(101342)*0.001</f>
        <v>101.342</v>
      </c>
      <c r="E59" s="278">
        <f>(99687)*0.001</f>
        <v>99.686999999999998</v>
      </c>
      <c r="F59" s="279">
        <f>(97256)*0.001</f>
        <v>97.256</v>
      </c>
      <c r="G59" s="278">
        <f>(101219)*0.001</f>
        <v>101.21900000000001</v>
      </c>
      <c r="H59" s="278">
        <f>(102957)*0.001</f>
        <v>102.95700000000001</v>
      </c>
      <c r="I59" s="278">
        <f>(102171)*0.001</f>
        <v>102.17100000000001</v>
      </c>
      <c r="J59" s="280">
        <f>(98659)*0.001</f>
        <v>98.659000000000006</v>
      </c>
      <c r="K59" s="281">
        <f>(101071)*0.001</f>
        <v>101.071</v>
      </c>
      <c r="L59" s="31">
        <v>431.9</v>
      </c>
      <c r="M59" s="31">
        <v>439.1</v>
      </c>
      <c r="N59" s="93">
        <v>464.4</v>
      </c>
      <c r="O59" s="60">
        <v>462.5</v>
      </c>
      <c r="P59" s="60">
        <v>479.4</v>
      </c>
      <c r="Q59" s="31">
        <v>4607.5</v>
      </c>
      <c r="R59" s="218">
        <v>4776.7</v>
      </c>
      <c r="S59" s="251">
        <v>41.5</v>
      </c>
      <c r="T59" s="251">
        <v>42.3</v>
      </c>
      <c r="U59" s="251">
        <v>41.9</v>
      </c>
      <c r="V59" s="218">
        <v>42.4</v>
      </c>
      <c r="W59" s="251">
        <v>981.4</v>
      </c>
      <c r="X59" s="251">
        <v>42.5</v>
      </c>
      <c r="Y59" s="251">
        <v>42.1</v>
      </c>
      <c r="Z59" s="218">
        <v>42.5</v>
      </c>
      <c r="AA59" s="505">
        <v>41.9</v>
      </c>
      <c r="AB59" s="505">
        <v>42.4</v>
      </c>
      <c r="AC59" s="505">
        <v>41.8</v>
      </c>
      <c r="AD59" s="218">
        <v>42.3</v>
      </c>
      <c r="AE59" s="505">
        <v>41.9</v>
      </c>
      <c r="AF59" s="505">
        <v>34.799999999999997</v>
      </c>
      <c r="AG59" s="508">
        <v>35.1</v>
      </c>
      <c r="AH59" s="218">
        <v>34.799999999999997</v>
      </c>
      <c r="AI59" s="505">
        <v>63.1</v>
      </c>
      <c r="AJ59" s="505"/>
      <c r="AK59" s="508"/>
      <c r="AL59" s="218"/>
    </row>
    <row r="60" spans="1:38" s="12" customFormat="1" ht="20.100000000000001" customHeight="1">
      <c r="A60" s="48" t="s">
        <v>213</v>
      </c>
      <c r="B60" s="671" t="s">
        <v>346</v>
      </c>
      <c r="C60" s="278">
        <f>0.237</f>
        <v>0.23699999999999999</v>
      </c>
      <c r="D60" s="278">
        <f>(243)*0.001</f>
        <v>0.24299999999999999</v>
      </c>
      <c r="E60" s="278">
        <f>(234)*0.001</f>
        <v>0.23400000000000001</v>
      </c>
      <c r="F60" s="279">
        <f>(233)*0.001</f>
        <v>0.23300000000000001</v>
      </c>
      <c r="G60" s="278">
        <f>(238)*0.001</f>
        <v>0.23800000000000002</v>
      </c>
      <c r="H60" s="278">
        <f>(247)*0.001</f>
        <v>0.247</v>
      </c>
      <c r="I60" s="278">
        <f>(240)*0.001</f>
        <v>0.24</v>
      </c>
      <c r="J60" s="280">
        <f>(236)*0.001</f>
        <v>0.23600000000000002</v>
      </c>
      <c r="K60" s="281">
        <f>(237)*0.001</f>
        <v>0.23700000000000002</v>
      </c>
      <c r="L60" s="31">
        <v>5.3</v>
      </c>
      <c r="M60" s="31">
        <v>5.8</v>
      </c>
      <c r="N60" s="93">
        <v>6.8</v>
      </c>
      <c r="O60" s="60">
        <v>2.7</v>
      </c>
      <c r="P60" s="60">
        <v>3.7</v>
      </c>
      <c r="Q60" s="31">
        <v>4.3</v>
      </c>
      <c r="R60" s="218">
        <v>4.3</v>
      </c>
      <c r="S60" s="251">
        <v>4.5</v>
      </c>
      <c r="T60" s="251">
        <v>4.9000000000000004</v>
      </c>
      <c r="U60" s="251">
        <v>4.9000000000000004</v>
      </c>
      <c r="V60" s="218">
        <v>5</v>
      </c>
      <c r="W60" s="251">
        <v>5.2</v>
      </c>
      <c r="X60" s="251">
        <v>7.6</v>
      </c>
      <c r="Y60" s="251">
        <v>7</v>
      </c>
      <c r="Z60" s="218">
        <v>9.6999999999999993</v>
      </c>
      <c r="AA60" s="505">
        <v>10.4</v>
      </c>
      <c r="AB60" s="505">
        <v>9.6999999999999993</v>
      </c>
      <c r="AC60" s="505">
        <v>10.7</v>
      </c>
      <c r="AD60" s="218">
        <v>8.1999999999999993</v>
      </c>
      <c r="AE60" s="505">
        <v>411.5</v>
      </c>
      <c r="AF60" s="505">
        <v>411.1</v>
      </c>
      <c r="AG60" s="508">
        <v>411.4</v>
      </c>
      <c r="AH60" s="218">
        <v>413.5</v>
      </c>
      <c r="AI60" s="505">
        <v>430.3</v>
      </c>
      <c r="AJ60" s="505"/>
      <c r="AK60" s="508"/>
      <c r="AL60" s="218"/>
    </row>
    <row r="61" spans="1:38" s="12" customFormat="1" ht="20.100000000000001" customHeight="1">
      <c r="A61" s="48" t="s">
        <v>162</v>
      </c>
      <c r="B61" s="669" t="s">
        <v>347</v>
      </c>
      <c r="C61" s="34">
        <v>0</v>
      </c>
      <c r="D61" s="34">
        <v>0</v>
      </c>
      <c r="E61" s="34">
        <v>0</v>
      </c>
      <c r="F61" s="86">
        <v>0</v>
      </c>
      <c r="G61" s="34">
        <v>0</v>
      </c>
      <c r="H61" s="34">
        <v>0</v>
      </c>
      <c r="I61" s="34">
        <v>0</v>
      </c>
      <c r="J61" s="70">
        <v>0</v>
      </c>
      <c r="K61" s="95">
        <v>0</v>
      </c>
      <c r="L61" s="31">
        <v>115.8</v>
      </c>
      <c r="M61" s="31">
        <v>113.9</v>
      </c>
      <c r="N61" s="93">
        <v>117.1</v>
      </c>
      <c r="O61" s="60">
        <v>113</v>
      </c>
      <c r="P61" s="60">
        <v>116.7</v>
      </c>
      <c r="Q61" s="31">
        <v>115.6</v>
      </c>
      <c r="R61" s="218">
        <v>117</v>
      </c>
      <c r="S61" s="251">
        <v>118</v>
      </c>
      <c r="T61" s="251">
        <v>123.1</v>
      </c>
      <c r="U61" s="251">
        <v>117.7</v>
      </c>
      <c r="V61" s="218">
        <v>121.5</v>
      </c>
      <c r="W61" s="251">
        <v>116.6</v>
      </c>
      <c r="X61" s="251">
        <v>117.6</v>
      </c>
      <c r="Y61" s="251">
        <v>117.6</v>
      </c>
      <c r="Z61" s="218">
        <v>114.5</v>
      </c>
      <c r="AA61" s="505">
        <v>116.3</v>
      </c>
      <c r="AB61" s="505">
        <v>121.3</v>
      </c>
      <c r="AC61" s="505">
        <v>116.6</v>
      </c>
      <c r="AD61" s="218">
        <v>118.1</v>
      </c>
      <c r="AE61" s="505">
        <v>118.9</v>
      </c>
      <c r="AF61" s="505">
        <v>118.3</v>
      </c>
      <c r="AG61" s="508">
        <v>119.3</v>
      </c>
      <c r="AH61" s="218">
        <v>116.9</v>
      </c>
      <c r="AI61" s="505">
        <v>125.8</v>
      </c>
      <c r="AJ61" s="505"/>
      <c r="AK61" s="508"/>
      <c r="AL61" s="218"/>
    </row>
    <row r="62" spans="1:38" s="12" customFormat="1" ht="20.100000000000001" customHeight="1">
      <c r="A62" s="48" t="s">
        <v>189</v>
      </c>
      <c r="B62" s="669" t="s">
        <v>353</v>
      </c>
      <c r="C62" s="34"/>
      <c r="D62" s="34"/>
      <c r="E62" s="34"/>
      <c r="F62" s="86"/>
      <c r="G62" s="34"/>
      <c r="H62" s="34"/>
      <c r="I62" s="34"/>
      <c r="J62" s="70"/>
      <c r="K62" s="95"/>
      <c r="L62" s="31"/>
      <c r="M62" s="31"/>
      <c r="N62" s="93"/>
      <c r="O62" s="60"/>
      <c r="P62" s="60"/>
      <c r="Q62" s="31"/>
      <c r="R62" s="218"/>
      <c r="S62" s="251"/>
      <c r="T62" s="251"/>
      <c r="U62" s="251"/>
      <c r="V62" s="218"/>
      <c r="W62" s="251"/>
      <c r="X62" s="251"/>
      <c r="Y62" s="251"/>
      <c r="Z62" s="218"/>
      <c r="AA62" s="508">
        <v>359</v>
      </c>
      <c r="AB62" s="505">
        <v>649.1</v>
      </c>
      <c r="AC62" s="505">
        <v>643.5</v>
      </c>
      <c r="AD62" s="218">
        <v>705.2</v>
      </c>
      <c r="AE62" s="508">
        <v>722.6</v>
      </c>
      <c r="AF62" s="505">
        <v>712.2</v>
      </c>
      <c r="AG62" s="508">
        <v>729.6</v>
      </c>
      <c r="AH62" s="218">
        <v>713.1</v>
      </c>
      <c r="AI62" s="508">
        <v>725.1</v>
      </c>
      <c r="AJ62" s="505"/>
      <c r="AK62" s="508"/>
      <c r="AL62" s="218"/>
    </row>
    <row r="63" spans="1:38" s="12" customFormat="1" ht="20.100000000000001" customHeight="1">
      <c r="A63" s="48" t="s">
        <v>24</v>
      </c>
      <c r="B63" s="669" t="s">
        <v>354</v>
      </c>
      <c r="C63" s="278">
        <f>435.427</f>
        <v>435.42700000000002</v>
      </c>
      <c r="D63" s="278">
        <f>(436188)*0.001</f>
        <v>436.18799999999999</v>
      </c>
      <c r="E63" s="278">
        <f>(441676)*0.001</f>
        <v>441.67599999999999</v>
      </c>
      <c r="F63" s="279">
        <f>(472094)*0.001</f>
        <v>472.09399999999999</v>
      </c>
      <c r="G63" s="278">
        <f>(432897)*0.001</f>
        <v>432.89699999999999</v>
      </c>
      <c r="H63" s="278">
        <f>(428004)*0.001</f>
        <v>428.00400000000002</v>
      </c>
      <c r="I63" s="278">
        <f>(390829)*0.001</f>
        <v>390.82900000000001</v>
      </c>
      <c r="J63" s="280">
        <f>(413210)*0.001</f>
        <v>413.21000000000004</v>
      </c>
      <c r="K63" s="281">
        <f>(418100)*0.001</f>
        <v>418.1</v>
      </c>
      <c r="L63" s="32">
        <v>1618.8</v>
      </c>
      <c r="M63" s="32">
        <v>1505.3</v>
      </c>
      <c r="N63" s="91">
        <v>1523</v>
      </c>
      <c r="O63" s="58">
        <v>1333.5</v>
      </c>
      <c r="P63" s="58">
        <v>1670.4</v>
      </c>
      <c r="Q63" s="32">
        <v>1431.5</v>
      </c>
      <c r="R63" s="218">
        <v>1485.4</v>
      </c>
      <c r="S63" s="260">
        <v>1711.4</v>
      </c>
      <c r="T63" s="260">
        <v>1365.9</v>
      </c>
      <c r="U63" s="260">
        <v>1338.1</v>
      </c>
      <c r="V63" s="218">
        <v>1569.5</v>
      </c>
      <c r="W63" s="260">
        <v>1337.9</v>
      </c>
      <c r="X63" s="260">
        <v>1694.4</v>
      </c>
      <c r="Y63" s="260">
        <v>1397.9</v>
      </c>
      <c r="Z63" s="218">
        <v>1727.3</v>
      </c>
      <c r="AA63" s="505">
        <v>1430.8</v>
      </c>
      <c r="AB63" s="508">
        <v>2254.9</v>
      </c>
      <c r="AC63" s="505">
        <v>2302.6999999999998</v>
      </c>
      <c r="AD63" s="218">
        <v>2382.4</v>
      </c>
      <c r="AE63" s="505">
        <v>2029.1</v>
      </c>
      <c r="AF63" s="508">
        <v>2691.7</v>
      </c>
      <c r="AG63" s="508">
        <v>2392.3000000000002</v>
      </c>
      <c r="AH63" s="218">
        <v>2420.8000000000002</v>
      </c>
      <c r="AI63" s="505">
        <v>2190</v>
      </c>
      <c r="AJ63" s="508"/>
      <c r="AK63" s="508"/>
      <c r="AL63" s="218"/>
    </row>
    <row r="64" spans="1:38" s="28" customFormat="1" ht="20.100000000000001" customHeight="1">
      <c r="A64" s="53" t="s">
        <v>92</v>
      </c>
      <c r="B64" s="674" t="s">
        <v>351</v>
      </c>
      <c r="C64" s="38">
        <v>0</v>
      </c>
      <c r="D64" s="38">
        <v>0</v>
      </c>
      <c r="E64" s="38">
        <v>0</v>
      </c>
      <c r="F64" s="96">
        <v>0</v>
      </c>
      <c r="G64" s="38">
        <v>0</v>
      </c>
      <c r="H64" s="38">
        <v>0</v>
      </c>
      <c r="I64" s="38">
        <v>0</v>
      </c>
      <c r="J64" s="94">
        <v>12</v>
      </c>
      <c r="K64" s="82">
        <v>0</v>
      </c>
      <c r="L64" s="38">
        <v>0</v>
      </c>
      <c r="M64" s="38">
        <v>0</v>
      </c>
      <c r="N64" s="94">
        <v>87</v>
      </c>
      <c r="O64" s="61">
        <v>99.7</v>
      </c>
      <c r="P64" s="61">
        <v>79</v>
      </c>
      <c r="Q64" s="37">
        <v>57.1</v>
      </c>
      <c r="R64" s="372">
        <v>72.900000000000006</v>
      </c>
      <c r="S64" s="253">
        <v>25.8</v>
      </c>
      <c r="T64" s="253">
        <v>3.5</v>
      </c>
      <c r="U64" s="253">
        <v>1.8</v>
      </c>
      <c r="V64" s="372">
        <v>0</v>
      </c>
      <c r="W64" s="253">
        <v>1.5</v>
      </c>
      <c r="X64" s="253">
        <v>0.6</v>
      </c>
      <c r="Y64" s="253">
        <v>0.5</v>
      </c>
      <c r="Z64" s="372">
        <v>3.6</v>
      </c>
      <c r="AA64" s="506">
        <v>2.8</v>
      </c>
      <c r="AB64" s="506">
        <v>4.2</v>
      </c>
      <c r="AC64" s="505">
        <v>5.5</v>
      </c>
      <c r="AD64" s="372">
        <v>8.8000000000000007</v>
      </c>
      <c r="AE64" s="506">
        <v>9.1</v>
      </c>
      <c r="AF64" s="506">
        <v>9</v>
      </c>
      <c r="AG64" s="616">
        <v>7.5</v>
      </c>
      <c r="AH64" s="218">
        <v>8.3000000000000007</v>
      </c>
      <c r="AI64" s="506">
        <v>37.799999999999997</v>
      </c>
      <c r="AJ64" s="506"/>
      <c r="AK64" s="616"/>
      <c r="AL64" s="218"/>
    </row>
    <row r="65" spans="1:38" s="12" customFormat="1" ht="20.100000000000001" customHeight="1">
      <c r="A65" s="48" t="s">
        <v>23</v>
      </c>
      <c r="B65" s="669" t="s">
        <v>355</v>
      </c>
      <c r="C65" s="278">
        <f>29.589</f>
        <v>29.588999999999999</v>
      </c>
      <c r="D65" s="278">
        <f>(7799)*0.001</f>
        <v>7.7990000000000004</v>
      </c>
      <c r="E65" s="278">
        <f>(6782)*0.001</f>
        <v>6.782</v>
      </c>
      <c r="F65" s="279">
        <f>(7092)*0.001</f>
        <v>7.0920000000000005</v>
      </c>
      <c r="G65" s="278">
        <f>(1990)*0.001</f>
        <v>1.99</v>
      </c>
      <c r="H65" s="278">
        <f>(6510)*0.001</f>
        <v>6.51</v>
      </c>
      <c r="I65" s="278">
        <f>(14152)*0.001</f>
        <v>14.152000000000001</v>
      </c>
      <c r="J65" s="280">
        <f>(4520)*0.001</f>
        <v>4.5200000000000005</v>
      </c>
      <c r="K65" s="281">
        <f>(12203)*0.001</f>
        <v>12.202999999999999</v>
      </c>
      <c r="L65" s="31">
        <v>43.7</v>
      </c>
      <c r="M65" s="31">
        <v>22.1</v>
      </c>
      <c r="N65" s="93">
        <v>48.028993427171699</v>
      </c>
      <c r="O65" s="60">
        <v>22.5</v>
      </c>
      <c r="P65" s="60">
        <v>132.69999999999999</v>
      </c>
      <c r="Q65" s="31">
        <v>96.3</v>
      </c>
      <c r="R65" s="218">
        <v>176.1</v>
      </c>
      <c r="S65" s="251">
        <v>29.2</v>
      </c>
      <c r="T65" s="251">
        <v>39.1</v>
      </c>
      <c r="U65" s="251">
        <v>21.967722325707697</v>
      </c>
      <c r="V65" s="218">
        <v>24.9</v>
      </c>
      <c r="W65" s="251">
        <v>4.3</v>
      </c>
      <c r="X65" s="251">
        <v>24.9</v>
      </c>
      <c r="Y65" s="251">
        <v>17.5</v>
      </c>
      <c r="Z65" s="218">
        <v>61.3</v>
      </c>
      <c r="AA65" s="505">
        <v>60.1</v>
      </c>
      <c r="AB65" s="505">
        <v>44.9</v>
      </c>
      <c r="AC65" s="505">
        <v>62.3</v>
      </c>
      <c r="AD65" s="218">
        <v>151.1</v>
      </c>
      <c r="AE65" s="505">
        <v>191.1</v>
      </c>
      <c r="AF65" s="505">
        <v>154.30000000000001</v>
      </c>
      <c r="AG65" s="508">
        <v>192.4</v>
      </c>
      <c r="AH65" s="218">
        <v>276.60000000000002</v>
      </c>
      <c r="AI65" s="505">
        <v>335.6</v>
      </c>
      <c r="AJ65" s="505"/>
      <c r="AK65" s="508"/>
      <c r="AL65" s="218"/>
    </row>
    <row r="66" spans="1:38" s="12" customFormat="1" ht="20.100000000000001" customHeight="1">
      <c r="A66" s="48" t="s">
        <v>44</v>
      </c>
      <c r="B66" s="669" t="s">
        <v>356</v>
      </c>
      <c r="C66" s="278">
        <f>12.532</f>
        <v>12.532</v>
      </c>
      <c r="D66" s="278">
        <f>(12125)*0.001</f>
        <v>12.125</v>
      </c>
      <c r="E66" s="278">
        <f>(12084)*0.001</f>
        <v>12.084</v>
      </c>
      <c r="F66" s="279">
        <f>(13259)*0.001</f>
        <v>13.259</v>
      </c>
      <c r="G66" s="278">
        <f>(13182)*0.001</f>
        <v>13.182</v>
      </c>
      <c r="H66" s="278">
        <f>(12551)*0.001</f>
        <v>12.551</v>
      </c>
      <c r="I66" s="278">
        <f>(12536)*0.001</f>
        <v>12.536</v>
      </c>
      <c r="J66" s="280">
        <f>(2727)*0.001</f>
        <v>2.7269999999999999</v>
      </c>
      <c r="K66" s="281">
        <f>(2843)*0.001</f>
        <v>2.843</v>
      </c>
      <c r="L66" s="31">
        <v>2.6</v>
      </c>
      <c r="M66" s="31">
        <v>2.7</v>
      </c>
      <c r="N66" s="93">
        <v>1.4</v>
      </c>
      <c r="O66" s="60">
        <v>1.4</v>
      </c>
      <c r="P66" s="46" t="s">
        <v>62</v>
      </c>
      <c r="Q66" s="46" t="s">
        <v>62</v>
      </c>
      <c r="R66" s="219" t="s">
        <v>62</v>
      </c>
      <c r="S66" s="262" t="s">
        <v>62</v>
      </c>
      <c r="T66" s="262" t="s">
        <v>62</v>
      </c>
      <c r="U66" s="262" t="s">
        <v>62</v>
      </c>
      <c r="V66" s="219" t="s">
        <v>62</v>
      </c>
      <c r="W66" s="262" t="s">
        <v>62</v>
      </c>
      <c r="X66" s="262" t="s">
        <v>62</v>
      </c>
      <c r="Y66" s="262" t="s">
        <v>62</v>
      </c>
      <c r="Z66" s="219" t="s">
        <v>62</v>
      </c>
      <c r="AA66" s="509" t="s">
        <v>62</v>
      </c>
      <c r="AB66" s="509" t="s">
        <v>62</v>
      </c>
      <c r="AC66" s="509" t="s">
        <v>62</v>
      </c>
      <c r="AD66" s="219" t="s">
        <v>62</v>
      </c>
      <c r="AE66" s="509" t="s">
        <v>62</v>
      </c>
      <c r="AF66" s="509" t="s">
        <v>62</v>
      </c>
      <c r="AG66" s="509" t="s">
        <v>62</v>
      </c>
      <c r="AH66" s="219" t="s">
        <v>62</v>
      </c>
      <c r="AI66" s="509" t="s">
        <v>62</v>
      </c>
      <c r="AJ66" s="509" t="s">
        <v>62</v>
      </c>
      <c r="AK66" s="509" t="s">
        <v>62</v>
      </c>
      <c r="AL66" s="219" t="s">
        <v>62</v>
      </c>
    </row>
    <row r="67" spans="1:38" s="12" customFormat="1" ht="20.100000000000001" customHeight="1" thickBot="1">
      <c r="A67" s="48" t="s">
        <v>163</v>
      </c>
      <c r="B67" s="669" t="s">
        <v>349</v>
      </c>
      <c r="C67" s="278">
        <f>188.402</f>
        <v>188.40199999999999</v>
      </c>
      <c r="D67" s="278">
        <f>(209950)*0.001</f>
        <v>209.95000000000002</v>
      </c>
      <c r="E67" s="278">
        <f>(210563)*0.001</f>
        <v>210.56300000000002</v>
      </c>
      <c r="F67" s="279">
        <f>(201238)*0.001</f>
        <v>201.238</v>
      </c>
      <c r="G67" s="278">
        <f>(207890)*0.001</f>
        <v>207.89000000000001</v>
      </c>
      <c r="H67" s="278">
        <f>(204442)*0.001</f>
        <v>204.44200000000001</v>
      </c>
      <c r="I67" s="278">
        <f>(210688)*0.001</f>
        <v>210.68800000000002</v>
      </c>
      <c r="J67" s="280">
        <f>(209485)*0.001</f>
        <v>209.48500000000001</v>
      </c>
      <c r="K67" s="281">
        <f>(228170)*0.001</f>
        <v>228.17000000000002</v>
      </c>
      <c r="L67" s="31">
        <v>678</v>
      </c>
      <c r="M67" s="31">
        <v>672.7</v>
      </c>
      <c r="N67" s="93">
        <v>683.9</v>
      </c>
      <c r="O67" s="60">
        <v>670.3</v>
      </c>
      <c r="P67" s="60">
        <v>672</v>
      </c>
      <c r="Q67" s="31">
        <v>680.9</v>
      </c>
      <c r="R67" s="218">
        <v>676.1</v>
      </c>
      <c r="S67" s="251">
        <v>665</v>
      </c>
      <c r="T67" s="251">
        <v>676.8</v>
      </c>
      <c r="U67" s="251">
        <v>660.84343092999995</v>
      </c>
      <c r="V67" s="218">
        <v>647.9</v>
      </c>
      <c r="W67" s="251">
        <v>633.79999999999995</v>
      </c>
      <c r="X67" s="251">
        <v>637.29999999999995</v>
      </c>
      <c r="Y67" s="251">
        <v>629.5</v>
      </c>
      <c r="Z67" s="218">
        <v>618.29999999999995</v>
      </c>
      <c r="AA67" s="505">
        <v>356</v>
      </c>
      <c r="AB67" s="505">
        <v>39.799999999999997</v>
      </c>
      <c r="AC67" s="505">
        <v>65</v>
      </c>
      <c r="AD67" s="218">
        <v>0</v>
      </c>
      <c r="AE67" s="505">
        <v>0</v>
      </c>
      <c r="AF67" s="505">
        <v>0</v>
      </c>
      <c r="AG67" s="505">
        <v>0</v>
      </c>
      <c r="AH67" s="218">
        <v>0</v>
      </c>
      <c r="AI67" s="505">
        <v>0</v>
      </c>
      <c r="AJ67" s="505">
        <v>0</v>
      </c>
      <c r="AK67" s="505">
        <v>0</v>
      </c>
      <c r="AL67" s="218">
        <v>0</v>
      </c>
    </row>
    <row r="68" spans="1:38" s="15" customFormat="1" ht="24.95" customHeight="1" thickBot="1">
      <c r="A68" s="13" t="s">
        <v>25</v>
      </c>
      <c r="B68" s="675" t="s">
        <v>357</v>
      </c>
      <c r="C68" s="52">
        <f t="shared" ref="C68:M68" si="49">SUM(C58:C67)</f>
        <v>1017.386</v>
      </c>
      <c r="D68" s="52">
        <f t="shared" si="49"/>
        <v>1033.443</v>
      </c>
      <c r="E68" s="52">
        <f t="shared" si="49"/>
        <v>1009.7019999999999</v>
      </c>
      <c r="F68" s="74">
        <f t="shared" si="49"/>
        <v>1066.78</v>
      </c>
      <c r="G68" s="52">
        <f t="shared" si="49"/>
        <v>1007.745</v>
      </c>
      <c r="H68" s="52">
        <f t="shared" si="49"/>
        <v>1018.1</v>
      </c>
      <c r="I68" s="52">
        <f t="shared" si="49"/>
        <v>945.28899999999999</v>
      </c>
      <c r="J68" s="52">
        <f t="shared" si="49"/>
        <v>986.83100000000002</v>
      </c>
      <c r="K68" s="275">
        <f t="shared" si="49"/>
        <v>1003.5449999999998</v>
      </c>
      <c r="L68" s="51">
        <f t="shared" si="49"/>
        <v>3990.3999999999992</v>
      </c>
      <c r="M68" s="51">
        <f t="shared" si="49"/>
        <v>4126.7</v>
      </c>
      <c r="N68" s="74">
        <f t="shared" ref="N68:U68" si="50">SUM(N58:N67)-N64</f>
        <v>4167.2289934271712</v>
      </c>
      <c r="O68" s="52">
        <f t="shared" si="50"/>
        <v>4149.8</v>
      </c>
      <c r="P68" s="52">
        <f t="shared" si="50"/>
        <v>4244.8</v>
      </c>
      <c r="Q68" s="52">
        <f t="shared" si="50"/>
        <v>7899.8</v>
      </c>
      <c r="R68" s="217">
        <f t="shared" si="50"/>
        <v>8466.5000000000018</v>
      </c>
      <c r="S68" s="255">
        <f t="shared" si="50"/>
        <v>4162.5999999999995</v>
      </c>
      <c r="T68" s="255">
        <f t="shared" si="50"/>
        <v>3503.3999999999996</v>
      </c>
      <c r="U68" s="255">
        <f t="shared" si="50"/>
        <v>3454.8111532557077</v>
      </c>
      <c r="V68" s="217">
        <f t="shared" ref="V68" si="51">SUM(V58:V67)-V64</f>
        <v>3681.2000000000003</v>
      </c>
      <c r="W68" s="255">
        <f t="shared" ref="W68:X68" si="52">SUM(W58:W67)-W64</f>
        <v>4366</v>
      </c>
      <c r="X68" s="255">
        <f t="shared" si="52"/>
        <v>4330.2</v>
      </c>
      <c r="Y68" s="255">
        <f t="shared" ref="Y68:Z68" si="53">SUM(Y58:Y67)-Y64</f>
        <v>4036.3999999999996</v>
      </c>
      <c r="Z68" s="217">
        <f t="shared" si="53"/>
        <v>3915.5000000000005</v>
      </c>
      <c r="AA68" s="255">
        <f t="shared" ref="AA68:AH68" si="54">SUM(AA58:AA67)-AA64</f>
        <v>2927.4</v>
      </c>
      <c r="AB68" s="255">
        <f t="shared" si="54"/>
        <v>4236.8</v>
      </c>
      <c r="AC68" s="507">
        <f t="shared" si="54"/>
        <v>4611.5</v>
      </c>
      <c r="AD68" s="217">
        <f t="shared" si="54"/>
        <v>5018.6000000000004</v>
      </c>
      <c r="AE68" s="507">
        <f t="shared" si="54"/>
        <v>4813.3000000000011</v>
      </c>
      <c r="AF68" s="507">
        <f t="shared" si="54"/>
        <v>5401.4000000000005</v>
      </c>
      <c r="AG68" s="507">
        <f t="shared" si="54"/>
        <v>5628.6</v>
      </c>
      <c r="AH68" s="217">
        <f t="shared" si="54"/>
        <v>5868.2000000000007</v>
      </c>
      <c r="AI68" s="507">
        <f t="shared" ref="AI68:AL68" si="55">SUM(AI58:AI67)-AI64</f>
        <v>5111.5</v>
      </c>
      <c r="AJ68" s="507">
        <f t="shared" si="55"/>
        <v>0</v>
      </c>
      <c r="AK68" s="507">
        <f t="shared" si="55"/>
        <v>0</v>
      </c>
      <c r="AL68" s="217">
        <f t="shared" si="55"/>
        <v>0</v>
      </c>
    </row>
    <row r="69" spans="1:38" s="15" customFormat="1" ht="24.95" customHeight="1" thickBot="1">
      <c r="A69" s="13" t="s">
        <v>26</v>
      </c>
      <c r="B69" s="675" t="s">
        <v>358</v>
      </c>
      <c r="C69" s="52">
        <f>C57+C68</f>
        <v>3411.9869999999996</v>
      </c>
      <c r="D69" s="52">
        <f>D57+D68</f>
        <v>3405.5320000000002</v>
      </c>
      <c r="E69" s="52">
        <f>E57+E68</f>
        <v>3159.9589999999994</v>
      </c>
      <c r="F69" s="74">
        <f t="shared" ref="F69:U69" si="56">F68+F57</f>
        <v>3092.942</v>
      </c>
      <c r="G69" s="52">
        <f t="shared" si="56"/>
        <v>3067.306</v>
      </c>
      <c r="H69" s="52">
        <f t="shared" si="56"/>
        <v>2945.4119999999998</v>
      </c>
      <c r="I69" s="52">
        <f t="shared" si="56"/>
        <v>2772.4030000000002</v>
      </c>
      <c r="J69" s="52">
        <f t="shared" si="56"/>
        <v>2687.0169999999998</v>
      </c>
      <c r="K69" s="275">
        <f t="shared" si="56"/>
        <v>2742.8450000000003</v>
      </c>
      <c r="L69" s="51">
        <f t="shared" si="56"/>
        <v>18735.399999999998</v>
      </c>
      <c r="M69" s="51">
        <f t="shared" si="56"/>
        <v>18350.5</v>
      </c>
      <c r="N69" s="74">
        <f t="shared" si="56"/>
        <v>18260.528993427175</v>
      </c>
      <c r="O69" s="52">
        <f t="shared" si="56"/>
        <v>17777</v>
      </c>
      <c r="P69" s="52">
        <f t="shared" si="56"/>
        <v>17584</v>
      </c>
      <c r="Q69" s="52">
        <f t="shared" si="56"/>
        <v>16083.5</v>
      </c>
      <c r="R69" s="217">
        <f t="shared" si="56"/>
        <v>16240.000000000002</v>
      </c>
      <c r="S69" s="255">
        <f t="shared" si="56"/>
        <v>17950.3</v>
      </c>
      <c r="T69" s="255">
        <f t="shared" si="56"/>
        <v>16819.5</v>
      </c>
      <c r="U69" s="255">
        <f t="shared" si="56"/>
        <v>16459.611153255708</v>
      </c>
      <c r="V69" s="217">
        <f t="shared" ref="V69:W69" si="57">V68+V57</f>
        <v>16351.700000000003</v>
      </c>
      <c r="W69" s="255">
        <f t="shared" si="57"/>
        <v>15904.9</v>
      </c>
      <c r="X69" s="255">
        <f t="shared" ref="X69:Y69" si="58">X68+X57</f>
        <v>15592.399999999998</v>
      </c>
      <c r="Y69" s="255">
        <f t="shared" si="58"/>
        <v>14932.699999999999</v>
      </c>
      <c r="Z69" s="217">
        <f t="shared" ref="Z69" si="59">Z68+Z57</f>
        <v>15639.2</v>
      </c>
      <c r="AA69" s="255">
        <f t="shared" ref="AA69:AH69" si="60">AA68+AA57</f>
        <v>14989.4</v>
      </c>
      <c r="AB69" s="255">
        <f t="shared" si="60"/>
        <v>16297.599999999999</v>
      </c>
      <c r="AC69" s="255">
        <f t="shared" si="60"/>
        <v>16714</v>
      </c>
      <c r="AD69" s="217">
        <f t="shared" si="60"/>
        <v>16821.599999999999</v>
      </c>
      <c r="AE69" s="507">
        <f t="shared" si="60"/>
        <v>17291.2</v>
      </c>
      <c r="AF69" s="507">
        <f t="shared" si="60"/>
        <v>17440.7</v>
      </c>
      <c r="AG69" s="507">
        <f t="shared" si="60"/>
        <v>17122.600000000002</v>
      </c>
      <c r="AH69" s="217">
        <f t="shared" si="60"/>
        <v>18125.099999999999</v>
      </c>
      <c r="AI69" s="507">
        <f t="shared" ref="AI69:AL69" si="61">AI68+AI57</f>
        <v>18018.7</v>
      </c>
      <c r="AJ69" s="507">
        <f t="shared" si="61"/>
        <v>0</v>
      </c>
      <c r="AK69" s="507">
        <f t="shared" si="61"/>
        <v>0</v>
      </c>
      <c r="AL69" s="217">
        <f t="shared" si="61"/>
        <v>0</v>
      </c>
    </row>
    <row r="70" spans="1:38" s="15" customFormat="1" ht="24.95" customHeight="1" thickBot="1">
      <c r="A70" s="55" t="s">
        <v>27</v>
      </c>
      <c r="B70" s="676" t="s">
        <v>333</v>
      </c>
      <c r="C70" s="56">
        <f t="shared" ref="C70:U70" si="62">C69+C48</f>
        <v>5502.753999999999</v>
      </c>
      <c r="D70" s="56">
        <f t="shared" si="62"/>
        <v>5597.8010000000004</v>
      </c>
      <c r="E70" s="56">
        <f t="shared" si="62"/>
        <v>5514.8739999999998</v>
      </c>
      <c r="F70" s="87">
        <f t="shared" si="62"/>
        <v>5561.3450000000003</v>
      </c>
      <c r="G70" s="56">
        <f t="shared" si="62"/>
        <v>5629.4740000000002</v>
      </c>
      <c r="H70" s="56">
        <f t="shared" si="62"/>
        <v>5592.7070000000003</v>
      </c>
      <c r="I70" s="56">
        <f t="shared" si="62"/>
        <v>5597.9809999999998</v>
      </c>
      <c r="J70" s="276">
        <f t="shared" si="62"/>
        <v>5688.23</v>
      </c>
      <c r="K70" s="277">
        <f t="shared" si="62"/>
        <v>5851.1939999999995</v>
      </c>
      <c r="L70" s="56">
        <f t="shared" si="62"/>
        <v>27827.1</v>
      </c>
      <c r="M70" s="56">
        <f t="shared" si="62"/>
        <v>27481.200000000001</v>
      </c>
      <c r="N70" s="87">
        <f t="shared" si="62"/>
        <v>27338.728993427176</v>
      </c>
      <c r="O70" s="56">
        <f t="shared" si="62"/>
        <v>27088.9</v>
      </c>
      <c r="P70" s="56">
        <f t="shared" si="62"/>
        <v>27141.800000000003</v>
      </c>
      <c r="Q70" s="56">
        <f t="shared" si="62"/>
        <v>26143.5</v>
      </c>
      <c r="R70" s="220">
        <f t="shared" si="62"/>
        <v>26490.100000000002</v>
      </c>
      <c r="S70" s="257">
        <f t="shared" si="62"/>
        <v>28355.5</v>
      </c>
      <c r="T70" s="257">
        <f t="shared" si="62"/>
        <v>27581.1</v>
      </c>
      <c r="U70" s="257">
        <f t="shared" si="62"/>
        <v>27493.111153255708</v>
      </c>
      <c r="V70" s="220">
        <f t="shared" ref="V70:W70" si="63">V69+V48</f>
        <v>27729.300000000003</v>
      </c>
      <c r="W70" s="257">
        <f t="shared" si="63"/>
        <v>27553.199999999997</v>
      </c>
      <c r="X70" s="257">
        <f t="shared" ref="X70:Y70" si="64">X69+X48</f>
        <v>27317.5</v>
      </c>
      <c r="Y70" s="257">
        <f t="shared" si="64"/>
        <v>26892.6</v>
      </c>
      <c r="Z70" s="220">
        <f t="shared" ref="Z70" si="65">Z69+Z48</f>
        <v>27756</v>
      </c>
      <c r="AA70" s="257">
        <f t="shared" ref="AA70:AH70" si="66">AA69+AA48</f>
        <v>27894.400000000001</v>
      </c>
      <c r="AB70" s="257">
        <f t="shared" si="66"/>
        <v>29751.599999999999</v>
      </c>
      <c r="AC70" s="257">
        <f t="shared" si="66"/>
        <v>30395.3</v>
      </c>
      <c r="AD70" s="220">
        <f t="shared" si="66"/>
        <v>30696.799999999999</v>
      </c>
      <c r="AE70" s="257">
        <f t="shared" si="66"/>
        <v>31463.800000000003</v>
      </c>
      <c r="AF70" s="257">
        <f t="shared" si="66"/>
        <v>31359.200000000001</v>
      </c>
      <c r="AG70" s="257">
        <f t="shared" si="66"/>
        <v>31277.700000000004</v>
      </c>
      <c r="AH70" s="220">
        <f t="shared" si="66"/>
        <v>32589.599999999999</v>
      </c>
      <c r="AI70" s="257">
        <f t="shared" ref="AI70:AL70" si="67">AI69+AI48</f>
        <v>32658.700000000004</v>
      </c>
      <c r="AJ70" s="257">
        <f t="shared" si="67"/>
        <v>0</v>
      </c>
      <c r="AK70" s="257">
        <f t="shared" si="67"/>
        <v>0</v>
      </c>
      <c r="AL70" s="220">
        <f t="shared" si="67"/>
        <v>0</v>
      </c>
    </row>
    <row r="71" spans="1:38" s="12" customFormat="1">
      <c r="A71" s="50"/>
      <c r="B71" s="664"/>
      <c r="L71" s="14"/>
      <c r="M71" s="14"/>
      <c r="Q71" s="14"/>
    </row>
    <row r="72" spans="1:38" s="12" customFormat="1">
      <c r="A72" s="50"/>
      <c r="B72" s="664"/>
      <c r="L72" s="14"/>
      <c r="M72" s="14"/>
      <c r="Q72" s="14"/>
    </row>
    <row r="73" spans="1:38" s="12" customFormat="1" ht="30.75" customHeight="1">
      <c r="A73" s="646" t="s">
        <v>191</v>
      </c>
      <c r="B73" s="683" t="s">
        <v>362</v>
      </c>
      <c r="C73" s="682"/>
      <c r="D73" s="682"/>
      <c r="E73" s="682"/>
      <c r="F73" s="682"/>
      <c r="G73" s="682"/>
      <c r="H73" s="682"/>
      <c r="I73" s="682"/>
      <c r="J73" s="682"/>
      <c r="K73" s="682"/>
      <c r="L73" s="682"/>
      <c r="M73" s="682"/>
      <c r="N73" s="682"/>
      <c r="O73" s="682"/>
      <c r="P73" s="682"/>
      <c r="Q73" s="682"/>
      <c r="R73" s="682"/>
    </row>
    <row r="74" spans="1:38" s="12" customFormat="1" ht="44.25" customHeight="1">
      <c r="A74" s="646" t="s">
        <v>192</v>
      </c>
      <c r="B74" s="683" t="s">
        <v>363</v>
      </c>
      <c r="C74" s="682"/>
      <c r="D74" s="682"/>
      <c r="E74" s="682"/>
      <c r="F74" s="682"/>
      <c r="G74" s="682"/>
      <c r="H74" s="682"/>
      <c r="I74" s="682"/>
      <c r="J74" s="682"/>
      <c r="K74" s="682"/>
      <c r="L74" s="682"/>
      <c r="M74" s="682"/>
      <c r="N74" s="682"/>
      <c r="O74" s="682"/>
      <c r="P74" s="682"/>
      <c r="Q74" s="682"/>
      <c r="R74" s="682"/>
    </row>
    <row r="75" spans="1:38" s="12" customFormat="1" ht="60" customHeight="1">
      <c r="A75" s="646" t="s">
        <v>475</v>
      </c>
      <c r="B75" s="684" t="s">
        <v>364</v>
      </c>
      <c r="C75" s="263"/>
      <c r="D75" s="263"/>
      <c r="E75" s="263"/>
      <c r="F75" s="263"/>
      <c r="G75" s="263"/>
      <c r="H75" s="263"/>
      <c r="I75" s="263"/>
      <c r="J75" s="263"/>
      <c r="K75" s="263"/>
      <c r="L75" s="681"/>
      <c r="M75" s="681"/>
      <c r="N75" s="263"/>
      <c r="O75" s="263"/>
      <c r="P75" s="263"/>
      <c r="Q75" s="681"/>
      <c r="R75" s="263"/>
    </row>
    <row r="76" spans="1:38" s="12" customFormat="1">
      <c r="A76" s="57"/>
      <c r="B76" s="665"/>
      <c r="L76" s="14"/>
      <c r="M76" s="14"/>
      <c r="Q76" s="14"/>
    </row>
    <row r="77" spans="1:38" s="12" customFormat="1">
      <c r="A77" s="10"/>
      <c r="B77" s="270"/>
      <c r="L77" s="14"/>
      <c r="M77" s="14"/>
      <c r="Q77" s="14"/>
    </row>
    <row r="78" spans="1:38" s="12" customFormat="1">
      <c r="A78" s="10"/>
      <c r="B78" s="270"/>
      <c r="L78" s="14"/>
      <c r="M78" s="14"/>
      <c r="Q78" s="14"/>
    </row>
  </sheetData>
  <mergeCells count="9">
    <mergeCell ref="C2:F2"/>
    <mergeCell ref="G2:J2"/>
    <mergeCell ref="K2:N2"/>
    <mergeCell ref="O2:R2"/>
    <mergeCell ref="AI2:AL2"/>
    <mergeCell ref="AE2:AH2"/>
    <mergeCell ref="AA2:AD2"/>
    <mergeCell ref="W2:Z2"/>
    <mergeCell ref="S2:V2"/>
  </mergeCells>
  <phoneticPr fontId="14" type="noConversion"/>
  <pageMargins left="0.70866141732283472" right="0.70866141732283472" top="0.74803149606299213" bottom="0.74803149606299213" header="0.31496062992125984" footer="0.31496062992125984"/>
  <pageSetup paperSize="9" scale="13" orientation="landscape" r:id="rId1"/>
  <ignoredErrors>
    <ignoredError sqref="G33 I33 D33 AD22"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RW154"/>
  <sheetViews>
    <sheetView showGridLines="0" zoomScaleNormal="100" zoomScaleSheetLayoutView="110" workbookViewId="0">
      <pane xSplit="2" ySplit="4" topLeftCell="AJ5" activePane="bottomRight" state="frozen"/>
      <selection pane="topRight" activeCell="C1" sqref="C1"/>
      <selection pane="bottomLeft" activeCell="A5" sqref="A5"/>
      <selection pane="bottomRight" activeCell="AO2" sqref="AO2:AR2"/>
    </sheetView>
  </sheetViews>
  <sheetFormatPr defaultColWidth="9" defaultRowHeight="12.75" outlineLevelCol="1"/>
  <cols>
    <col min="1" max="1" width="62.125" style="6" customWidth="1"/>
    <col min="2" max="2" width="60.75" style="6" customWidth="1"/>
    <col min="3" max="3" width="13.125" style="6" hidden="1" customWidth="1" outlineLevel="1"/>
    <col min="4" max="5" width="13" style="6" hidden="1" customWidth="1" outlineLevel="1"/>
    <col min="6" max="6" width="12.5" style="6" hidden="1" customWidth="1" outlineLevel="1"/>
    <col min="7" max="7" width="13" style="6" hidden="1" customWidth="1" outlineLevel="1"/>
    <col min="8" max="9" width="12.875" style="6" hidden="1" customWidth="1" outlineLevel="1"/>
    <col min="10" max="10" width="12.5" style="6" hidden="1" customWidth="1" outlineLevel="1"/>
    <col min="11" max="12" width="13" style="6" hidden="1" customWidth="1" outlineLevel="1"/>
    <col min="13" max="13" width="12.875" style="6" hidden="1" customWidth="1" outlineLevel="1"/>
    <col min="14" max="14" width="12.5" style="6" hidden="1" customWidth="1" outlineLevel="1"/>
    <col min="15" max="29" width="13" style="6" hidden="1" customWidth="1" outlineLevel="1"/>
    <col min="30" max="30" width="14.125" style="6" hidden="1" customWidth="1" outlineLevel="1"/>
    <col min="31" max="34" width="13" style="10" hidden="1" customWidth="1" outlineLevel="1"/>
    <col min="35" max="35" width="2.625" style="10" customWidth="1" collapsed="1"/>
    <col min="36" max="39" width="13.125" style="10" customWidth="1"/>
    <col min="40" max="40" width="2.375" style="10" customWidth="1"/>
    <col min="41" max="44" width="13.125" style="10" customWidth="1"/>
    <col min="45" max="58" width="9" style="10"/>
    <col min="59" max="16384" width="9" style="6"/>
  </cols>
  <sheetData>
    <row r="1" spans="1:491" s="17" customFormat="1" ht="50.25" customHeight="1" thickBot="1">
      <c r="A1" s="5" t="s">
        <v>150</v>
      </c>
      <c r="B1" s="5"/>
      <c r="C1" s="5"/>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c r="CQ1" s="16"/>
      <c r="CR1" s="16"/>
      <c r="CS1" s="16"/>
      <c r="CT1" s="16"/>
      <c r="CU1" s="16"/>
      <c r="CV1" s="16"/>
      <c r="CW1" s="16"/>
      <c r="CX1" s="16"/>
      <c r="CY1" s="16"/>
      <c r="CZ1" s="16"/>
      <c r="DA1" s="16"/>
      <c r="DB1" s="16"/>
      <c r="DC1" s="16"/>
      <c r="DD1" s="16"/>
      <c r="DE1" s="16"/>
      <c r="DF1" s="16"/>
      <c r="DG1" s="16"/>
      <c r="DH1" s="16"/>
      <c r="DI1" s="16"/>
      <c r="DJ1" s="16"/>
      <c r="DK1" s="16"/>
      <c r="DL1" s="16"/>
      <c r="DM1" s="16"/>
      <c r="DN1" s="16"/>
      <c r="DO1" s="16"/>
      <c r="DP1" s="16"/>
      <c r="DQ1" s="16"/>
      <c r="DR1" s="16"/>
      <c r="DS1" s="16"/>
      <c r="DT1" s="16"/>
      <c r="DU1" s="16"/>
      <c r="DV1" s="16"/>
      <c r="DW1" s="16"/>
      <c r="DX1" s="16"/>
      <c r="DY1" s="16"/>
      <c r="DZ1" s="16"/>
      <c r="EA1" s="16"/>
      <c r="EB1" s="16"/>
      <c r="EC1" s="16"/>
      <c r="ED1" s="16"/>
      <c r="EE1" s="16"/>
      <c r="EF1" s="16"/>
      <c r="EG1" s="16"/>
      <c r="EH1" s="16"/>
      <c r="EI1" s="16"/>
      <c r="EJ1" s="16"/>
      <c r="EK1" s="16"/>
      <c r="EL1" s="16"/>
      <c r="EM1" s="16"/>
      <c r="EN1" s="16"/>
      <c r="EO1" s="16"/>
      <c r="EP1" s="16"/>
      <c r="EQ1" s="16"/>
      <c r="ER1" s="16"/>
      <c r="ES1" s="16"/>
      <c r="ET1" s="16"/>
      <c r="EU1" s="16"/>
      <c r="EV1" s="16"/>
      <c r="EW1" s="16"/>
      <c r="EX1" s="16"/>
      <c r="EY1" s="16"/>
      <c r="EZ1" s="16"/>
      <c r="FA1" s="16"/>
      <c r="FB1" s="16"/>
      <c r="FC1" s="16"/>
      <c r="FD1" s="16"/>
      <c r="FE1" s="16"/>
      <c r="FF1" s="16"/>
      <c r="FG1" s="16"/>
      <c r="FH1" s="16"/>
      <c r="FI1" s="16"/>
      <c r="FJ1" s="16"/>
      <c r="FK1" s="16"/>
      <c r="FL1" s="16"/>
      <c r="FM1" s="16"/>
      <c r="FN1" s="16"/>
      <c r="FO1" s="16"/>
      <c r="FP1" s="16"/>
      <c r="FQ1" s="16"/>
      <c r="FR1" s="16"/>
      <c r="FS1" s="16"/>
      <c r="FT1" s="16"/>
      <c r="FU1" s="16"/>
      <c r="FV1" s="16"/>
      <c r="FW1" s="16"/>
      <c r="FX1" s="16"/>
      <c r="FY1" s="16"/>
      <c r="FZ1" s="16"/>
      <c r="GA1" s="16"/>
      <c r="GB1" s="16"/>
      <c r="GC1" s="16"/>
      <c r="GD1" s="16"/>
      <c r="GE1" s="16"/>
      <c r="GF1" s="16"/>
      <c r="GG1" s="16"/>
      <c r="GH1" s="16"/>
      <c r="GI1" s="16"/>
      <c r="GJ1" s="16"/>
      <c r="GK1" s="16"/>
      <c r="GL1" s="16"/>
      <c r="GM1" s="16"/>
      <c r="GN1" s="16"/>
      <c r="GO1" s="16"/>
      <c r="GP1" s="16"/>
      <c r="GQ1" s="16"/>
      <c r="GR1" s="16"/>
      <c r="GS1" s="16"/>
      <c r="GT1" s="16"/>
      <c r="GU1" s="16"/>
      <c r="GV1" s="16"/>
      <c r="GW1" s="16"/>
      <c r="GX1" s="16"/>
      <c r="GY1" s="16"/>
      <c r="GZ1" s="16"/>
      <c r="HA1" s="16"/>
      <c r="HB1" s="16"/>
      <c r="HC1" s="16"/>
      <c r="HD1" s="16"/>
      <c r="HE1" s="16"/>
      <c r="HF1" s="16"/>
      <c r="HG1" s="16"/>
      <c r="HH1" s="16"/>
      <c r="HI1" s="16"/>
      <c r="HJ1" s="16"/>
      <c r="HK1" s="16"/>
      <c r="HL1" s="16"/>
      <c r="HM1" s="16"/>
      <c r="HN1" s="16"/>
      <c r="HO1" s="16"/>
      <c r="HP1" s="16"/>
      <c r="HQ1" s="16"/>
      <c r="HR1" s="16"/>
      <c r="HS1" s="16"/>
      <c r="HT1" s="16"/>
      <c r="HU1" s="16"/>
      <c r="HV1" s="16"/>
      <c r="HW1" s="16"/>
      <c r="HX1" s="16"/>
      <c r="HY1" s="16"/>
      <c r="HZ1" s="16"/>
      <c r="IA1" s="16"/>
      <c r="IB1" s="16"/>
      <c r="IC1" s="16"/>
      <c r="ID1" s="16"/>
      <c r="IE1" s="16"/>
      <c r="IF1" s="16"/>
      <c r="IG1" s="16"/>
      <c r="IH1" s="16"/>
      <c r="II1" s="16"/>
      <c r="IJ1" s="16"/>
      <c r="IK1" s="16"/>
      <c r="IL1" s="16"/>
      <c r="IM1" s="16"/>
      <c r="IN1" s="16"/>
      <c r="IO1" s="16"/>
      <c r="IP1" s="16"/>
      <c r="IQ1" s="16"/>
      <c r="IR1" s="16"/>
      <c r="IS1" s="16"/>
      <c r="IT1" s="16"/>
      <c r="IU1" s="16"/>
      <c r="IV1" s="16"/>
      <c r="IW1" s="16"/>
      <c r="IX1" s="16"/>
      <c r="IY1" s="16"/>
      <c r="IZ1" s="16"/>
      <c r="JA1" s="16"/>
      <c r="JB1" s="16"/>
      <c r="JC1" s="16"/>
      <c r="JD1" s="16"/>
      <c r="JE1" s="16"/>
      <c r="JF1" s="16"/>
      <c r="JG1" s="16"/>
      <c r="JH1" s="16"/>
      <c r="JI1" s="16"/>
      <c r="JJ1" s="16"/>
      <c r="JK1" s="16"/>
      <c r="JL1" s="16"/>
      <c r="JM1" s="16"/>
      <c r="JN1" s="16"/>
      <c r="JO1" s="16"/>
      <c r="JP1" s="16"/>
      <c r="JQ1" s="16"/>
      <c r="JR1" s="16"/>
      <c r="JS1" s="16"/>
      <c r="JT1" s="16"/>
      <c r="JU1" s="16"/>
      <c r="JV1" s="16"/>
      <c r="JW1" s="16"/>
      <c r="JX1" s="16"/>
      <c r="JY1" s="16"/>
      <c r="JZ1" s="16"/>
      <c r="KA1" s="16"/>
      <c r="KB1" s="16"/>
      <c r="KC1" s="16"/>
      <c r="KD1" s="16"/>
      <c r="KE1" s="16"/>
      <c r="KF1" s="16"/>
      <c r="KG1" s="16"/>
      <c r="KH1" s="16"/>
      <c r="KI1" s="16"/>
      <c r="KJ1" s="16"/>
      <c r="KK1" s="16"/>
      <c r="KL1" s="16"/>
      <c r="KM1" s="16"/>
      <c r="KN1" s="16"/>
      <c r="KO1" s="16"/>
      <c r="KP1" s="16"/>
      <c r="KQ1" s="16"/>
      <c r="KR1" s="16"/>
      <c r="KS1" s="16"/>
      <c r="KT1" s="16"/>
      <c r="KU1" s="16"/>
      <c r="KV1" s="16"/>
      <c r="KW1" s="16"/>
      <c r="KX1" s="16"/>
      <c r="KY1" s="16"/>
      <c r="KZ1" s="16"/>
      <c r="LA1" s="16"/>
      <c r="LB1" s="16"/>
      <c r="LC1" s="16"/>
      <c r="LD1" s="16"/>
      <c r="LE1" s="16"/>
      <c r="LF1" s="16"/>
      <c r="LG1" s="16"/>
      <c r="LH1" s="16"/>
      <c r="LI1" s="16"/>
      <c r="LJ1" s="16"/>
      <c r="LK1" s="16"/>
      <c r="LL1" s="16"/>
      <c r="LM1" s="16"/>
      <c r="LN1" s="16"/>
      <c r="LO1" s="16"/>
      <c r="LP1" s="16"/>
      <c r="LQ1" s="16"/>
      <c r="LR1" s="16"/>
      <c r="LS1" s="16"/>
      <c r="LT1" s="16"/>
      <c r="LU1" s="16"/>
      <c r="LV1" s="16"/>
      <c r="LW1" s="16"/>
      <c r="LX1" s="16"/>
      <c r="LY1" s="16"/>
      <c r="LZ1" s="16"/>
      <c r="MA1" s="16"/>
      <c r="MB1" s="16"/>
      <c r="MC1" s="16"/>
      <c r="MD1" s="16"/>
      <c r="ME1" s="16"/>
      <c r="MF1" s="16"/>
      <c r="MG1" s="16"/>
      <c r="MH1" s="16"/>
      <c r="MI1" s="16"/>
      <c r="MJ1" s="16"/>
      <c r="MK1" s="16"/>
      <c r="ML1" s="16"/>
      <c r="MM1" s="16"/>
      <c r="MN1" s="16"/>
      <c r="MO1" s="16"/>
      <c r="MP1" s="16"/>
      <c r="MQ1" s="16"/>
      <c r="MR1" s="16"/>
      <c r="MS1" s="16"/>
      <c r="MT1" s="16"/>
      <c r="MU1" s="16"/>
      <c r="MV1" s="16"/>
      <c r="MW1" s="16"/>
      <c r="MX1" s="16"/>
      <c r="MY1" s="16"/>
      <c r="MZ1" s="16"/>
      <c r="NA1" s="16"/>
      <c r="NB1" s="16"/>
      <c r="NC1" s="16"/>
      <c r="ND1" s="16"/>
      <c r="NE1" s="16"/>
      <c r="NF1" s="16"/>
      <c r="NG1" s="16"/>
      <c r="NH1" s="16"/>
      <c r="NI1" s="16"/>
      <c r="NJ1" s="16"/>
      <c r="NK1" s="16"/>
      <c r="NL1" s="16"/>
      <c r="NM1" s="16"/>
      <c r="NN1" s="16"/>
      <c r="NO1" s="16"/>
      <c r="NP1" s="16"/>
      <c r="NQ1" s="16"/>
      <c r="NR1" s="16"/>
      <c r="NS1" s="16"/>
      <c r="NT1" s="16"/>
      <c r="NU1" s="16"/>
      <c r="NV1" s="16"/>
      <c r="NW1" s="16"/>
      <c r="NX1" s="16"/>
      <c r="NY1" s="16"/>
      <c r="NZ1" s="16"/>
      <c r="OA1" s="16"/>
      <c r="OB1" s="16"/>
      <c r="OC1" s="16"/>
      <c r="OD1" s="16"/>
      <c r="OE1" s="16"/>
      <c r="OF1" s="16"/>
      <c r="OG1" s="16"/>
      <c r="OH1" s="16"/>
      <c r="OI1" s="16"/>
      <c r="OJ1" s="16"/>
      <c r="OK1" s="16"/>
      <c r="OL1" s="16"/>
      <c r="OM1" s="16"/>
      <c r="ON1" s="16"/>
      <c r="OO1" s="16"/>
      <c r="OP1" s="16"/>
      <c r="OQ1" s="16"/>
      <c r="OR1" s="16"/>
      <c r="OS1" s="16"/>
      <c r="OT1" s="16"/>
      <c r="OU1" s="16"/>
      <c r="OV1" s="16"/>
      <c r="OW1" s="16"/>
      <c r="OX1" s="16"/>
      <c r="OY1" s="16"/>
      <c r="OZ1" s="16"/>
      <c r="PA1" s="16"/>
      <c r="PB1" s="16"/>
      <c r="PC1" s="16"/>
      <c r="PD1" s="16"/>
      <c r="PE1" s="16"/>
      <c r="PF1" s="16"/>
      <c r="PG1" s="16"/>
      <c r="PH1" s="16"/>
      <c r="PI1" s="16"/>
      <c r="PJ1" s="16"/>
      <c r="PK1" s="16"/>
      <c r="PL1" s="16"/>
      <c r="PM1" s="16"/>
      <c r="PN1" s="16"/>
      <c r="PO1" s="16"/>
      <c r="PP1" s="16"/>
      <c r="PQ1" s="16"/>
      <c r="PR1" s="16"/>
      <c r="PS1" s="16"/>
      <c r="PT1" s="16"/>
      <c r="PU1" s="16"/>
      <c r="PV1" s="16"/>
      <c r="PW1" s="16"/>
      <c r="PX1" s="16"/>
      <c r="PY1" s="16"/>
      <c r="PZ1" s="16"/>
      <c r="QA1" s="16"/>
      <c r="QB1" s="16"/>
      <c r="QC1" s="16"/>
      <c r="QD1" s="16"/>
      <c r="QE1" s="16"/>
      <c r="QF1" s="16"/>
      <c r="QG1" s="16"/>
      <c r="QH1" s="16"/>
      <c r="QI1" s="16"/>
      <c r="QJ1" s="16"/>
      <c r="QK1" s="16"/>
      <c r="QL1" s="16"/>
      <c r="QM1" s="16"/>
      <c r="QN1" s="16"/>
      <c r="QO1" s="16"/>
      <c r="QP1" s="16"/>
      <c r="QQ1" s="16"/>
      <c r="QR1" s="16"/>
      <c r="QS1" s="16"/>
      <c r="QT1" s="16"/>
      <c r="QU1" s="16"/>
      <c r="QV1" s="16"/>
      <c r="QW1" s="16"/>
      <c r="QX1" s="16"/>
      <c r="QY1" s="16"/>
      <c r="QZ1" s="16"/>
      <c r="RA1" s="16"/>
      <c r="RB1" s="16"/>
      <c r="RC1" s="16"/>
      <c r="RD1" s="16"/>
      <c r="RE1" s="16"/>
      <c r="RF1" s="16"/>
      <c r="RG1" s="16"/>
      <c r="RH1" s="16"/>
      <c r="RI1" s="16"/>
      <c r="RJ1" s="16"/>
      <c r="RK1" s="16"/>
      <c r="RL1" s="16"/>
      <c r="RM1" s="16"/>
      <c r="RN1" s="16"/>
      <c r="RO1" s="16"/>
      <c r="RP1" s="16"/>
      <c r="RQ1" s="16"/>
      <c r="RR1" s="16"/>
      <c r="RS1" s="16"/>
      <c r="RT1" s="16"/>
      <c r="RU1" s="16"/>
      <c r="RV1" s="16"/>
      <c r="RW1" s="16"/>
    </row>
    <row r="2" spans="1:491" s="17" customFormat="1" ht="42.75" customHeight="1">
      <c r="A2" s="8" t="s">
        <v>121</v>
      </c>
      <c r="B2" s="666" t="s">
        <v>365</v>
      </c>
      <c r="C2" s="739">
        <v>2012</v>
      </c>
      <c r="D2" s="739"/>
      <c r="E2" s="739"/>
      <c r="F2" s="740"/>
      <c r="G2" s="741">
        <v>2013</v>
      </c>
      <c r="H2" s="739"/>
      <c r="I2" s="739"/>
      <c r="J2" s="740"/>
      <c r="K2" s="739">
        <v>2014</v>
      </c>
      <c r="L2" s="739"/>
      <c r="M2" s="739"/>
      <c r="N2" s="739"/>
      <c r="O2" s="746">
        <v>2015</v>
      </c>
      <c r="P2" s="742"/>
      <c r="Q2" s="742"/>
      <c r="R2" s="743"/>
      <c r="S2" s="741">
        <v>2016</v>
      </c>
      <c r="T2" s="739"/>
      <c r="U2" s="739"/>
      <c r="V2" s="740"/>
      <c r="W2" s="741" t="s">
        <v>201</v>
      </c>
      <c r="X2" s="739"/>
      <c r="Y2" s="739"/>
      <c r="Z2" s="740"/>
      <c r="AA2" s="741" t="s">
        <v>438</v>
      </c>
      <c r="AB2" s="744"/>
      <c r="AC2" s="744"/>
      <c r="AD2" s="745"/>
      <c r="AE2" s="741" t="s">
        <v>437</v>
      </c>
      <c r="AF2" s="744"/>
      <c r="AG2" s="744"/>
      <c r="AH2" s="745"/>
      <c r="AI2" s="16"/>
      <c r="AJ2" s="741" t="s">
        <v>477</v>
      </c>
      <c r="AK2" s="744"/>
      <c r="AL2" s="744"/>
      <c r="AM2" s="745"/>
      <c r="AN2" s="16"/>
      <c r="AO2" s="741">
        <v>2020</v>
      </c>
      <c r="AP2" s="744"/>
      <c r="AQ2" s="744"/>
      <c r="AR2" s="745"/>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c r="IX2" s="16"/>
      <c r="IY2" s="16"/>
      <c r="IZ2" s="16"/>
      <c r="JA2" s="16"/>
      <c r="JB2" s="16"/>
      <c r="JC2" s="16"/>
      <c r="JD2" s="16"/>
      <c r="JE2" s="16"/>
      <c r="JF2" s="16"/>
      <c r="JG2" s="16"/>
      <c r="JH2" s="16"/>
      <c r="JI2" s="16"/>
      <c r="JJ2" s="16"/>
      <c r="JK2" s="16"/>
      <c r="JL2" s="16"/>
      <c r="JM2" s="16"/>
      <c r="JN2" s="16"/>
      <c r="JO2" s="16"/>
      <c r="JP2" s="16"/>
      <c r="JQ2" s="16"/>
      <c r="JR2" s="16"/>
      <c r="JS2" s="16"/>
      <c r="JT2" s="16"/>
      <c r="JU2" s="16"/>
      <c r="JV2" s="16"/>
      <c r="JW2" s="16"/>
      <c r="JX2" s="16"/>
      <c r="JY2" s="16"/>
      <c r="JZ2" s="16"/>
      <c r="KA2" s="16"/>
      <c r="KB2" s="16"/>
      <c r="KC2" s="16"/>
      <c r="KD2" s="16"/>
      <c r="KE2" s="16"/>
      <c r="KF2" s="16"/>
      <c r="KG2" s="16"/>
      <c r="KH2" s="16"/>
      <c r="KI2" s="16"/>
      <c r="KJ2" s="16"/>
      <c r="KK2" s="16"/>
      <c r="KL2" s="16"/>
      <c r="KM2" s="16"/>
      <c r="KN2" s="16"/>
      <c r="KO2" s="16"/>
      <c r="KP2" s="16"/>
      <c r="KQ2" s="16"/>
      <c r="KR2" s="16"/>
      <c r="KS2" s="16"/>
      <c r="KT2" s="16"/>
      <c r="KU2" s="16"/>
      <c r="KV2" s="16"/>
      <c r="KW2" s="16"/>
      <c r="KX2" s="16"/>
      <c r="KY2" s="16"/>
      <c r="KZ2" s="16"/>
      <c r="LA2" s="16"/>
      <c r="LB2" s="16"/>
      <c r="LC2" s="16"/>
      <c r="LD2" s="16"/>
      <c r="LE2" s="16"/>
      <c r="LF2" s="16"/>
      <c r="LG2" s="16"/>
      <c r="LH2" s="16"/>
      <c r="LI2" s="16"/>
      <c r="LJ2" s="16"/>
      <c r="LK2" s="16"/>
      <c r="LL2" s="16"/>
      <c r="LM2" s="16"/>
      <c r="LN2" s="16"/>
      <c r="LO2" s="16"/>
      <c r="LP2" s="16"/>
      <c r="LQ2" s="16"/>
      <c r="LR2" s="16"/>
      <c r="LS2" s="16"/>
      <c r="LT2" s="16"/>
      <c r="LU2" s="16"/>
      <c r="LV2" s="16"/>
      <c r="LW2" s="16"/>
      <c r="LX2" s="16"/>
      <c r="LY2" s="16"/>
      <c r="LZ2" s="16"/>
      <c r="MA2" s="16"/>
      <c r="MB2" s="16"/>
      <c r="MC2" s="16"/>
      <c r="MD2" s="16"/>
      <c r="ME2" s="16"/>
      <c r="MF2" s="16"/>
      <c r="MG2" s="16"/>
      <c r="MH2" s="16"/>
      <c r="MI2" s="16"/>
      <c r="MJ2" s="16"/>
      <c r="MK2" s="16"/>
      <c r="ML2" s="16"/>
      <c r="MM2" s="16"/>
      <c r="MN2" s="16"/>
      <c r="MO2" s="16"/>
      <c r="MP2" s="16"/>
      <c r="MQ2" s="16"/>
      <c r="MR2" s="16"/>
      <c r="MS2" s="16"/>
      <c r="MT2" s="16"/>
      <c r="MU2" s="16"/>
      <c r="MV2" s="16"/>
      <c r="MW2" s="16"/>
      <c r="MX2" s="16"/>
      <c r="MY2" s="16"/>
      <c r="MZ2" s="16"/>
      <c r="NA2" s="16"/>
      <c r="NB2" s="16"/>
      <c r="NC2" s="16"/>
      <c r="ND2" s="16"/>
      <c r="NE2" s="16"/>
      <c r="NF2" s="16"/>
      <c r="NG2" s="16"/>
      <c r="NH2" s="16"/>
      <c r="NI2" s="16"/>
      <c r="NJ2" s="16"/>
      <c r="NK2" s="16"/>
      <c r="NL2" s="16"/>
      <c r="NM2" s="16"/>
      <c r="NN2" s="16"/>
      <c r="NO2" s="16"/>
      <c r="NP2" s="16"/>
      <c r="NQ2" s="16"/>
      <c r="NR2" s="16"/>
      <c r="NS2" s="16"/>
      <c r="NT2" s="16"/>
      <c r="NU2" s="16"/>
      <c r="NV2" s="16"/>
      <c r="NW2" s="16"/>
      <c r="NX2" s="16"/>
      <c r="NY2" s="16"/>
      <c r="NZ2" s="16"/>
      <c r="OA2" s="16"/>
      <c r="OB2" s="16"/>
      <c r="OC2" s="16"/>
      <c r="OD2" s="16"/>
      <c r="OE2" s="16"/>
      <c r="OF2" s="16"/>
      <c r="OG2" s="16"/>
      <c r="OH2" s="16"/>
      <c r="OI2" s="16"/>
      <c r="OJ2" s="16"/>
      <c r="OK2" s="16"/>
      <c r="OL2" s="16"/>
      <c r="OM2" s="16"/>
      <c r="ON2" s="16"/>
      <c r="OO2" s="16"/>
      <c r="OP2" s="16"/>
      <c r="OQ2" s="16"/>
      <c r="OR2" s="16"/>
      <c r="OS2" s="16"/>
      <c r="OT2" s="16"/>
      <c r="OU2" s="16"/>
      <c r="OV2" s="16"/>
      <c r="OW2" s="16"/>
      <c r="OX2" s="16"/>
      <c r="OY2" s="16"/>
      <c r="OZ2" s="16"/>
      <c r="PA2" s="16"/>
      <c r="PB2" s="16"/>
      <c r="PC2" s="16"/>
      <c r="PD2" s="16"/>
      <c r="PE2" s="16"/>
      <c r="PF2" s="16"/>
      <c r="PG2" s="16"/>
      <c r="PH2" s="16"/>
      <c r="PI2" s="16"/>
      <c r="PJ2" s="16"/>
      <c r="PK2" s="16"/>
      <c r="PL2" s="16"/>
      <c r="PM2" s="16"/>
      <c r="PN2" s="16"/>
      <c r="PO2" s="16"/>
      <c r="PP2" s="16"/>
      <c r="PQ2" s="16"/>
      <c r="PR2" s="16"/>
      <c r="PS2" s="16"/>
      <c r="PT2" s="16"/>
      <c r="PU2" s="16"/>
      <c r="PV2" s="16"/>
      <c r="PW2" s="16"/>
      <c r="PX2" s="16"/>
      <c r="PY2" s="16"/>
      <c r="PZ2" s="16"/>
      <c r="QA2" s="16"/>
      <c r="QB2" s="16"/>
      <c r="QC2" s="16"/>
      <c r="QD2" s="16"/>
      <c r="QE2" s="16"/>
      <c r="QF2" s="16"/>
      <c r="QG2" s="16"/>
      <c r="QH2" s="16"/>
      <c r="QI2" s="16"/>
      <c r="QJ2" s="16"/>
      <c r="QK2" s="16"/>
      <c r="QL2" s="16"/>
      <c r="QM2" s="16"/>
      <c r="QN2" s="16"/>
      <c r="QO2" s="16"/>
      <c r="QP2" s="16"/>
      <c r="QQ2" s="16"/>
      <c r="QR2" s="16"/>
      <c r="QS2" s="16"/>
      <c r="QT2" s="16"/>
      <c r="QU2" s="16"/>
      <c r="QV2" s="16"/>
      <c r="QW2" s="16"/>
      <c r="QX2" s="16"/>
      <c r="QY2" s="16"/>
      <c r="QZ2" s="16"/>
      <c r="RA2" s="16"/>
      <c r="RB2" s="16"/>
      <c r="RC2" s="16"/>
      <c r="RD2" s="16"/>
      <c r="RE2" s="16"/>
      <c r="RF2" s="16"/>
      <c r="RG2" s="16"/>
      <c r="RH2" s="16"/>
      <c r="RI2" s="16"/>
      <c r="RJ2" s="16"/>
      <c r="RK2" s="16"/>
      <c r="RL2" s="16"/>
      <c r="RM2" s="16"/>
      <c r="RN2" s="16"/>
      <c r="RO2" s="16"/>
      <c r="RP2" s="16"/>
      <c r="RQ2" s="16"/>
      <c r="RR2" s="16"/>
      <c r="RS2" s="16"/>
      <c r="RT2" s="16"/>
      <c r="RU2" s="16"/>
      <c r="RV2" s="16"/>
      <c r="RW2" s="16"/>
    </row>
    <row r="3" spans="1:491" ht="39.950000000000003" customHeight="1" thickBot="1">
      <c r="A3" s="9" t="s">
        <v>267</v>
      </c>
      <c r="B3" s="667"/>
      <c r="C3" s="98" t="s">
        <v>116</v>
      </c>
      <c r="D3" s="98" t="s">
        <v>117</v>
      </c>
      <c r="E3" s="98" t="s">
        <v>118</v>
      </c>
      <c r="F3" s="100" t="s">
        <v>119</v>
      </c>
      <c r="G3" s="99" t="s">
        <v>116</v>
      </c>
      <c r="H3" s="98" t="s">
        <v>117</v>
      </c>
      <c r="I3" s="98" t="s">
        <v>118</v>
      </c>
      <c r="J3" s="100" t="s">
        <v>119</v>
      </c>
      <c r="K3" s="98" t="s">
        <v>116</v>
      </c>
      <c r="L3" s="98" t="s">
        <v>117</v>
      </c>
      <c r="M3" s="98" t="s">
        <v>118</v>
      </c>
      <c r="N3" s="101" t="s">
        <v>119</v>
      </c>
      <c r="O3" s="99" t="s">
        <v>116</v>
      </c>
      <c r="P3" s="98" t="s">
        <v>117</v>
      </c>
      <c r="Q3" s="98" t="s">
        <v>118</v>
      </c>
      <c r="R3" s="211" t="s">
        <v>119</v>
      </c>
      <c r="S3" s="99" t="s">
        <v>116</v>
      </c>
      <c r="T3" s="98" t="s">
        <v>117</v>
      </c>
      <c r="U3" s="98" t="s">
        <v>118</v>
      </c>
      <c r="V3" s="211" t="s">
        <v>119</v>
      </c>
      <c r="W3" s="99" t="s">
        <v>116</v>
      </c>
      <c r="X3" s="98" t="s">
        <v>117</v>
      </c>
      <c r="Y3" s="98" t="s">
        <v>118</v>
      </c>
      <c r="Z3" s="211" t="s">
        <v>119</v>
      </c>
      <c r="AA3" s="99" t="s">
        <v>116</v>
      </c>
      <c r="AB3" s="98" t="s">
        <v>117</v>
      </c>
      <c r="AC3" s="98" t="s">
        <v>118</v>
      </c>
      <c r="AD3" s="211" t="s">
        <v>119</v>
      </c>
      <c r="AE3" s="99" t="s">
        <v>116</v>
      </c>
      <c r="AF3" s="98" t="s">
        <v>117</v>
      </c>
      <c r="AG3" s="98" t="s">
        <v>118</v>
      </c>
      <c r="AH3" s="211" t="s">
        <v>119</v>
      </c>
      <c r="AJ3" s="99" t="s">
        <v>116</v>
      </c>
      <c r="AK3" s="98" t="s">
        <v>117</v>
      </c>
      <c r="AL3" s="98" t="s">
        <v>118</v>
      </c>
      <c r="AM3" s="211" t="s">
        <v>119</v>
      </c>
      <c r="AO3" s="99" t="s">
        <v>116</v>
      </c>
      <c r="AP3" s="98" t="s">
        <v>117</v>
      </c>
      <c r="AQ3" s="98" t="s">
        <v>118</v>
      </c>
      <c r="AR3" s="211" t="s">
        <v>119</v>
      </c>
    </row>
    <row r="4" spans="1:491" ht="39.75" customHeight="1" thickBot="1">
      <c r="A4" s="9"/>
      <c r="B4" s="667"/>
      <c r="C4" s="99" t="s">
        <v>433</v>
      </c>
      <c r="D4" s="98" t="s">
        <v>434</v>
      </c>
      <c r="E4" s="98" t="s">
        <v>435</v>
      </c>
      <c r="F4" s="211" t="s">
        <v>436</v>
      </c>
      <c r="G4" s="99" t="s">
        <v>433</v>
      </c>
      <c r="H4" s="98" t="s">
        <v>434</v>
      </c>
      <c r="I4" s="98" t="s">
        <v>435</v>
      </c>
      <c r="J4" s="211" t="s">
        <v>436</v>
      </c>
      <c r="K4" s="99" t="s">
        <v>433</v>
      </c>
      <c r="L4" s="98" t="s">
        <v>434</v>
      </c>
      <c r="M4" s="98" t="s">
        <v>435</v>
      </c>
      <c r="N4" s="211" t="s">
        <v>436</v>
      </c>
      <c r="O4" s="99" t="s">
        <v>433</v>
      </c>
      <c r="P4" s="98" t="s">
        <v>434</v>
      </c>
      <c r="Q4" s="98" t="s">
        <v>435</v>
      </c>
      <c r="R4" s="211" t="s">
        <v>436</v>
      </c>
      <c r="S4" s="99" t="s">
        <v>433</v>
      </c>
      <c r="T4" s="98" t="s">
        <v>434</v>
      </c>
      <c r="U4" s="98" t="s">
        <v>435</v>
      </c>
      <c r="V4" s="211" t="s">
        <v>436</v>
      </c>
      <c r="W4" s="99" t="s">
        <v>433</v>
      </c>
      <c r="X4" s="98" t="s">
        <v>434</v>
      </c>
      <c r="Y4" s="98" t="s">
        <v>435</v>
      </c>
      <c r="Z4" s="211" t="s">
        <v>436</v>
      </c>
      <c r="AA4" s="99" t="s">
        <v>433</v>
      </c>
      <c r="AB4" s="98" t="s">
        <v>434</v>
      </c>
      <c r="AC4" s="98" t="s">
        <v>435</v>
      </c>
      <c r="AD4" s="211" t="s">
        <v>436</v>
      </c>
      <c r="AE4" s="99" t="s">
        <v>433</v>
      </c>
      <c r="AF4" s="98" t="s">
        <v>434</v>
      </c>
      <c r="AG4" s="98" t="s">
        <v>435</v>
      </c>
      <c r="AH4" s="211" t="s">
        <v>436</v>
      </c>
      <c r="AJ4" s="99" t="s">
        <v>433</v>
      </c>
      <c r="AK4" s="98" t="s">
        <v>434</v>
      </c>
      <c r="AL4" s="98" t="s">
        <v>435</v>
      </c>
      <c r="AM4" s="211" t="s">
        <v>436</v>
      </c>
      <c r="AO4" s="99" t="s">
        <v>433</v>
      </c>
      <c r="AP4" s="98" t="s">
        <v>434</v>
      </c>
      <c r="AQ4" s="98" t="s">
        <v>435</v>
      </c>
      <c r="AR4" s="211" t="s">
        <v>436</v>
      </c>
    </row>
    <row r="5" spans="1:491" s="10" customFormat="1" ht="20.100000000000001" customHeight="1" thickBot="1">
      <c r="A5" s="207" t="s">
        <v>120</v>
      </c>
      <c r="B5" s="685" t="s">
        <v>366</v>
      </c>
      <c r="C5" s="222">
        <v>205.10900000000001</v>
      </c>
      <c r="D5" s="222">
        <v>304.61200000000002</v>
      </c>
      <c r="E5" s="222">
        <v>476.67400000000004</v>
      </c>
      <c r="F5" s="292">
        <v>598.298</v>
      </c>
      <c r="G5" s="221">
        <v>95.105000000000004</v>
      </c>
      <c r="H5" s="222">
        <v>175.85</v>
      </c>
      <c r="I5" s="222">
        <v>352.30099999999999</v>
      </c>
      <c r="J5" s="292">
        <v>525.44500000000005</v>
      </c>
      <c r="K5" s="222">
        <v>98.171999999999997</v>
      </c>
      <c r="L5" s="222">
        <f>'P&amp;L'!M27+'P&amp;L'!N27</f>
        <v>230.29999999999967</v>
      </c>
      <c r="M5" s="222">
        <v>278.5</v>
      </c>
      <c r="N5" s="233">
        <v>292.5</v>
      </c>
      <c r="O5" s="221">
        <v>170.8</v>
      </c>
      <c r="P5" s="222">
        <v>475.29999999999984</v>
      </c>
      <c r="Q5" s="222">
        <f>SUM('P&amp;L'!R27:T27)</f>
        <v>977.7999999999995</v>
      </c>
      <c r="R5" s="223">
        <f>SUM('P&amp;L'!V27)</f>
        <v>1163.3999999999994</v>
      </c>
      <c r="S5" s="221">
        <f>'P&amp;L'!W27</f>
        <v>178.50000000000006</v>
      </c>
      <c r="T5" s="222">
        <f>'P&amp;L'!W27+'P&amp;L'!X27</f>
        <v>409.4000000000002</v>
      </c>
      <c r="U5" s="222">
        <f>T5+'P&amp;L'!Y27</f>
        <v>679.20000000000061</v>
      </c>
      <c r="V5" s="223">
        <f>'P&amp;L'!AA27</f>
        <v>1021.0000000000001</v>
      </c>
      <c r="W5" s="221">
        <v>271.40000000000032</v>
      </c>
      <c r="X5" s="222">
        <v>553.10000000000025</v>
      </c>
      <c r="Y5" s="222">
        <v>788</v>
      </c>
      <c r="Z5" s="223">
        <v>945.2</v>
      </c>
      <c r="AA5" s="519">
        <v>292.2</v>
      </c>
      <c r="AB5" s="519">
        <v>523.6</v>
      </c>
      <c r="AC5" s="519">
        <v>750.7</v>
      </c>
      <c r="AD5" s="223">
        <v>816.1</v>
      </c>
      <c r="AE5" s="519">
        <v>300.8</v>
      </c>
      <c r="AF5" s="519">
        <v>570.9</v>
      </c>
      <c r="AG5" s="519">
        <v>817.9</v>
      </c>
      <c r="AH5" s="223">
        <v>1126.3</v>
      </c>
      <c r="AJ5" s="221">
        <v>297.3</v>
      </c>
      <c r="AK5" s="519">
        <v>566.20000000000005</v>
      </c>
      <c r="AL5" s="519">
        <v>802.7</v>
      </c>
      <c r="AM5" s="223">
        <v>1114.5999999999999</v>
      </c>
      <c r="AO5" s="221">
        <f>'P&amp;L'!BB27</f>
        <v>183.78882651999987</v>
      </c>
      <c r="AP5" s="519"/>
      <c r="AQ5" s="519"/>
      <c r="AR5" s="223"/>
    </row>
    <row r="6" spans="1:491" s="10" customFormat="1" ht="20.100000000000001" customHeight="1" thickBot="1">
      <c r="A6" s="207" t="s">
        <v>28</v>
      </c>
      <c r="B6" s="685" t="s">
        <v>367</v>
      </c>
      <c r="C6" s="293">
        <f t="shared" ref="C6:Z6" si="0">SUM(C7:C28)</f>
        <v>27.58799999999999</v>
      </c>
      <c r="D6" s="293">
        <f t="shared" si="0"/>
        <v>110.99899999999997</v>
      </c>
      <c r="E6" s="293">
        <f t="shared" si="0"/>
        <v>152.09600000000003</v>
      </c>
      <c r="F6" s="292">
        <f t="shared" si="0"/>
        <v>244.9200000000001</v>
      </c>
      <c r="G6" s="221">
        <f t="shared" si="0"/>
        <v>70.556999999999988</v>
      </c>
      <c r="H6" s="222">
        <f t="shared" si="0"/>
        <v>176.07799999999997</v>
      </c>
      <c r="I6" s="222">
        <f t="shared" si="0"/>
        <v>195.94299999999996</v>
      </c>
      <c r="J6" s="292">
        <f t="shared" si="0"/>
        <v>334.28999999999991</v>
      </c>
      <c r="K6" s="222">
        <f t="shared" si="0"/>
        <v>86.532000000000011</v>
      </c>
      <c r="L6" s="222">
        <f t="shared" si="0"/>
        <v>505.40000000000015</v>
      </c>
      <c r="M6" s="222">
        <f t="shared" si="0"/>
        <v>1145.4000000000003</v>
      </c>
      <c r="N6" s="233">
        <f t="shared" si="0"/>
        <v>1825.2999999999997</v>
      </c>
      <c r="O6" s="221">
        <f t="shared" si="0"/>
        <v>282.2000000000001</v>
      </c>
      <c r="P6" s="222">
        <f t="shared" si="0"/>
        <v>852.69999999999982</v>
      </c>
      <c r="Q6" s="222">
        <f t="shared" si="0"/>
        <v>1195.6999999999994</v>
      </c>
      <c r="R6" s="223">
        <f t="shared" si="0"/>
        <v>1821.6999999999998</v>
      </c>
      <c r="S6" s="221">
        <f t="shared" si="0"/>
        <v>405.9</v>
      </c>
      <c r="T6" s="222">
        <f t="shared" si="0"/>
        <v>1140</v>
      </c>
      <c r="U6" s="222">
        <f t="shared" si="0"/>
        <v>1678.3000000000002</v>
      </c>
      <c r="V6" s="223">
        <f t="shared" si="0"/>
        <v>2130.5</v>
      </c>
      <c r="W6" s="221">
        <f t="shared" si="0"/>
        <v>509.29999999999995</v>
      </c>
      <c r="X6" s="222">
        <f t="shared" si="0"/>
        <v>1062.8</v>
      </c>
      <c r="Y6" s="222">
        <f t="shared" si="0"/>
        <v>1457.6999999999998</v>
      </c>
      <c r="Z6" s="223">
        <f t="shared" si="0"/>
        <v>2181.1000000000004</v>
      </c>
      <c r="AA6" s="519">
        <f>SUM(AA7:AA28)</f>
        <v>340.90000000000009</v>
      </c>
      <c r="AB6" s="519">
        <f>SUM(AB7:AB28)</f>
        <v>873.30000000000007</v>
      </c>
      <c r="AC6" s="519">
        <v>1470.1</v>
      </c>
      <c r="AD6" s="223">
        <f>SUM(AD7:AD28)</f>
        <v>2416</v>
      </c>
      <c r="AE6" s="519">
        <f>SUM(AE7:AE28)</f>
        <v>402.4</v>
      </c>
      <c r="AF6" s="519">
        <f t="shared" ref="AF6" si="1">SUM(AF7:AF28)</f>
        <v>983.40000000000032</v>
      </c>
      <c r="AG6" s="519">
        <f t="shared" ref="AG6:AH6" si="2">SUM(AG7:AG28)</f>
        <v>1588.9000000000003</v>
      </c>
      <c r="AH6" s="223">
        <f t="shared" si="2"/>
        <v>2265.5</v>
      </c>
      <c r="AJ6" s="221">
        <f>SUM(AJ7:AJ28)</f>
        <v>464.9</v>
      </c>
      <c r="AK6" s="519">
        <f t="shared" ref="AK6" si="3">SUM(AK7:AK28)</f>
        <v>1143.1000000000001</v>
      </c>
      <c r="AL6" s="519">
        <f t="shared" ref="AL6:AM6" si="4">SUM(AL7:AL28)</f>
        <v>1857.2000000000003</v>
      </c>
      <c r="AM6" s="223">
        <f t="shared" si="4"/>
        <v>2663.2999999999997</v>
      </c>
      <c r="AO6" s="221">
        <f>SUM(AO7:AO28)</f>
        <v>677.20000000000016</v>
      </c>
      <c r="AP6" s="519">
        <f t="shared" ref="AP6:AR6" si="5">SUM(AP7:AP28)</f>
        <v>0</v>
      </c>
      <c r="AQ6" s="519">
        <f t="shared" si="5"/>
        <v>0</v>
      </c>
      <c r="AR6" s="223">
        <f t="shared" si="5"/>
        <v>0</v>
      </c>
    </row>
    <row r="7" spans="1:491" s="10" customFormat="1" ht="20.100000000000001" customHeight="1">
      <c r="A7" s="208" t="s">
        <v>72</v>
      </c>
      <c r="B7" s="686" t="s">
        <v>248</v>
      </c>
      <c r="C7" s="225">
        <v>54.433</v>
      </c>
      <c r="D7" s="225">
        <v>111.117</v>
      </c>
      <c r="E7" s="225">
        <v>171.35499999999999</v>
      </c>
      <c r="F7" s="294">
        <v>243.066</v>
      </c>
      <c r="G7" s="224">
        <v>60.698</v>
      </c>
      <c r="H7" s="225">
        <v>122.961</v>
      </c>
      <c r="I7" s="225">
        <v>187.82599999999999</v>
      </c>
      <c r="J7" s="294">
        <v>256.416</v>
      </c>
      <c r="K7" s="234">
        <v>62.434000000000005</v>
      </c>
      <c r="L7" s="234">
        <v>373.8</v>
      </c>
      <c r="M7" s="234">
        <v>852.1</v>
      </c>
      <c r="N7" s="235">
        <v>1295.9000000000001</v>
      </c>
      <c r="O7" s="224">
        <v>467.9</v>
      </c>
      <c r="P7" s="225">
        <v>861.4</v>
      </c>
      <c r="Q7" s="225">
        <v>1262.5999999999999</v>
      </c>
      <c r="R7" s="226">
        <v>1699.3</v>
      </c>
      <c r="S7" s="224">
        <v>423.7</v>
      </c>
      <c r="T7" s="225">
        <v>951.2</v>
      </c>
      <c r="U7" s="225">
        <v>1459.1</v>
      </c>
      <c r="V7" s="226">
        <v>1971.5</v>
      </c>
      <c r="W7" s="224">
        <v>472.3</v>
      </c>
      <c r="X7" s="225">
        <v>919</v>
      </c>
      <c r="Y7" s="225">
        <v>1348.2</v>
      </c>
      <c r="Z7" s="226">
        <v>1783</v>
      </c>
      <c r="AA7" s="520">
        <v>454.5</v>
      </c>
      <c r="AB7" s="520">
        <v>925.3</v>
      </c>
      <c r="AC7" s="520">
        <v>1448.8</v>
      </c>
      <c r="AD7" s="226">
        <v>1970.7</v>
      </c>
      <c r="AE7" s="520">
        <v>440.1</v>
      </c>
      <c r="AF7" s="520">
        <v>884.7</v>
      </c>
      <c r="AG7" s="520">
        <v>1333.2</v>
      </c>
      <c r="AH7" s="226">
        <v>1786.4</v>
      </c>
      <c r="AJ7" s="224">
        <v>547.1</v>
      </c>
      <c r="AK7" s="520">
        <v>1100.7</v>
      </c>
      <c r="AL7" s="520">
        <v>1662.2</v>
      </c>
      <c r="AM7" s="226">
        <v>2229.6999999999998</v>
      </c>
      <c r="AO7" s="224">
        <v>564.5</v>
      </c>
      <c r="AP7" s="520"/>
      <c r="AQ7" s="520"/>
      <c r="AR7" s="226"/>
    </row>
    <row r="8" spans="1:491" s="10" customFormat="1" ht="20.100000000000001" customHeight="1">
      <c r="A8" s="208" t="s">
        <v>49</v>
      </c>
      <c r="B8" s="686" t="s">
        <v>368</v>
      </c>
      <c r="C8" s="225">
        <v>-29.711000000000002</v>
      </c>
      <c r="D8" s="225">
        <v>-88.683000000000007</v>
      </c>
      <c r="E8" s="225">
        <v>-140.589</v>
      </c>
      <c r="F8" s="294">
        <v>-177.86799999999999</v>
      </c>
      <c r="G8" s="224">
        <v>-44.32</v>
      </c>
      <c r="H8" s="225">
        <v>-122.45100000000001</v>
      </c>
      <c r="I8" s="225">
        <v>-189.477</v>
      </c>
      <c r="J8" s="294">
        <v>-222.45600000000002</v>
      </c>
      <c r="K8" s="234">
        <v>-109.42100000000001</v>
      </c>
      <c r="L8" s="234">
        <v>-148.9</v>
      </c>
      <c r="M8" s="234">
        <v>-224.7</v>
      </c>
      <c r="N8" s="235">
        <v>-306.8</v>
      </c>
      <c r="O8" s="224">
        <v>-41.5</v>
      </c>
      <c r="P8" s="225">
        <v>-115.2</v>
      </c>
      <c r="Q8" s="225">
        <v>-195.4</v>
      </c>
      <c r="R8" s="226">
        <v>-238.1</v>
      </c>
      <c r="S8" s="224">
        <v>-58.1</v>
      </c>
      <c r="T8" s="225">
        <v>-119</v>
      </c>
      <c r="U8" s="225">
        <v>-189.6</v>
      </c>
      <c r="V8" s="226">
        <v>-246.5</v>
      </c>
      <c r="W8" s="224">
        <v>-33.299999999999997</v>
      </c>
      <c r="X8" s="225">
        <v>-94.2</v>
      </c>
      <c r="Y8" s="225">
        <v>-246.2</v>
      </c>
      <c r="Z8" s="226">
        <v>-305.10000000000002</v>
      </c>
      <c r="AA8" s="520">
        <v>-62.4</v>
      </c>
      <c r="AB8" s="520">
        <v>-124.7</v>
      </c>
      <c r="AC8" s="520">
        <v>-411.2</v>
      </c>
      <c r="AD8" s="226">
        <v>-363.5</v>
      </c>
      <c r="AE8" s="520">
        <v>-156.30000000000001</v>
      </c>
      <c r="AF8" s="520">
        <v>-343.1</v>
      </c>
      <c r="AG8" s="520">
        <v>-534</v>
      </c>
      <c r="AH8" s="226">
        <v>-617.29999999999995</v>
      </c>
      <c r="AJ8" s="224">
        <v>-156.30000000000001</v>
      </c>
      <c r="AK8" s="520">
        <v>-343.1</v>
      </c>
      <c r="AL8" s="520">
        <v>-534</v>
      </c>
      <c r="AM8" s="226">
        <v>-617.29999999999995</v>
      </c>
      <c r="AO8" s="224">
        <v>-160.5</v>
      </c>
      <c r="AP8" s="520"/>
      <c r="AQ8" s="520"/>
      <c r="AR8" s="226"/>
    </row>
    <row r="9" spans="1:491" s="10" customFormat="1" ht="20.100000000000001" customHeight="1">
      <c r="A9" s="208" t="s">
        <v>50</v>
      </c>
      <c r="B9" s="686" t="s">
        <v>369</v>
      </c>
      <c r="C9" s="225">
        <v>46.908999999999999</v>
      </c>
      <c r="D9" s="225">
        <v>99.832000000000008</v>
      </c>
      <c r="E9" s="225">
        <v>145.40600000000001</v>
      </c>
      <c r="F9" s="294">
        <v>194.52100000000002</v>
      </c>
      <c r="G9" s="224">
        <v>46.048999999999999</v>
      </c>
      <c r="H9" s="225">
        <v>102.423</v>
      </c>
      <c r="I9" s="225">
        <v>162.63200000000001</v>
      </c>
      <c r="J9" s="294">
        <v>220.37100000000001</v>
      </c>
      <c r="K9" s="234">
        <v>40.084000000000003</v>
      </c>
      <c r="L9" s="234">
        <v>85.1</v>
      </c>
      <c r="M9" s="234">
        <v>162.19999999999999</v>
      </c>
      <c r="N9" s="235">
        <v>224.4</v>
      </c>
      <c r="O9" s="224">
        <v>43.7</v>
      </c>
      <c r="P9" s="225">
        <v>90.5</v>
      </c>
      <c r="Q9" s="225">
        <v>149.9</v>
      </c>
      <c r="R9" s="226">
        <v>212.6</v>
      </c>
      <c r="S9" s="224">
        <v>49.1</v>
      </c>
      <c r="T9" s="225">
        <v>125.3</v>
      </c>
      <c r="U9" s="225">
        <v>173.5</v>
      </c>
      <c r="V9" s="226">
        <v>230.7</v>
      </c>
      <c r="W9" s="224">
        <v>48.5</v>
      </c>
      <c r="X9" s="225">
        <v>102.7</v>
      </c>
      <c r="Y9" s="225">
        <v>166.1</v>
      </c>
      <c r="Z9" s="226">
        <v>228.6</v>
      </c>
      <c r="AA9" s="520">
        <v>45.7</v>
      </c>
      <c r="AB9" s="520">
        <v>103.8</v>
      </c>
      <c r="AC9" s="520">
        <v>100.5</v>
      </c>
      <c r="AD9" s="226">
        <v>337</v>
      </c>
      <c r="AE9" s="520">
        <v>123.3</v>
      </c>
      <c r="AF9" s="520">
        <v>262.39999999999998</v>
      </c>
      <c r="AG9" s="520">
        <v>411</v>
      </c>
      <c r="AH9" s="226">
        <v>543.6</v>
      </c>
      <c r="AJ9" s="224">
        <v>123.3</v>
      </c>
      <c r="AK9" s="520">
        <v>262.39999999999998</v>
      </c>
      <c r="AL9" s="520">
        <v>411</v>
      </c>
      <c r="AM9" s="226">
        <v>543.6</v>
      </c>
      <c r="AO9" s="224">
        <v>125.1</v>
      </c>
      <c r="AP9" s="520"/>
      <c r="AQ9" s="520"/>
      <c r="AR9" s="226"/>
    </row>
    <row r="10" spans="1:491" s="10" customFormat="1" ht="20.100000000000001" customHeight="1">
      <c r="A10" s="208" t="s">
        <v>86</v>
      </c>
      <c r="B10" s="686" t="s">
        <v>370</v>
      </c>
      <c r="C10" s="225">
        <v>-1.0999999999999999E-2</v>
      </c>
      <c r="D10" s="225">
        <v>-0.25700000000000001</v>
      </c>
      <c r="E10" s="225">
        <v>-0.48299999999999998</v>
      </c>
      <c r="F10" s="294">
        <v>-0.111</v>
      </c>
      <c r="G10" s="224">
        <v>5.8000000000000003E-2</v>
      </c>
      <c r="H10" s="225">
        <v>7.2999999999999995E-2</v>
      </c>
      <c r="I10" s="225">
        <v>-38.896000000000001</v>
      </c>
      <c r="J10" s="294">
        <v>-35.765000000000001</v>
      </c>
      <c r="K10" s="234">
        <v>-5.2999999999999999E-2</v>
      </c>
      <c r="L10" s="234">
        <v>-0.7</v>
      </c>
      <c r="M10" s="234">
        <v>-2.4</v>
      </c>
      <c r="N10" s="235">
        <v>-2.9</v>
      </c>
      <c r="O10" s="224">
        <v>-0.4</v>
      </c>
      <c r="P10" s="225">
        <v>-4.8</v>
      </c>
      <c r="Q10" s="225">
        <v>-5.7</v>
      </c>
      <c r="R10" s="226">
        <v>-6.9</v>
      </c>
      <c r="S10" s="302" t="s">
        <v>62</v>
      </c>
      <c r="T10" s="303" t="s">
        <v>62</v>
      </c>
      <c r="U10" s="303" t="s">
        <v>62</v>
      </c>
      <c r="V10" s="367" t="s">
        <v>62</v>
      </c>
      <c r="W10" s="302" t="s">
        <v>62</v>
      </c>
      <c r="X10" s="303" t="s">
        <v>62</v>
      </c>
      <c r="Y10" s="303" t="s">
        <v>62</v>
      </c>
      <c r="Z10" s="367" t="s">
        <v>62</v>
      </c>
      <c r="AA10" s="523" t="s">
        <v>62</v>
      </c>
      <c r="AB10" s="523" t="s">
        <v>62</v>
      </c>
      <c r="AC10" s="523" t="s">
        <v>62</v>
      </c>
      <c r="AD10" s="367" t="s">
        <v>62</v>
      </c>
      <c r="AE10" s="523" t="s">
        <v>62</v>
      </c>
      <c r="AF10" s="523" t="s">
        <v>62</v>
      </c>
      <c r="AG10" s="523" t="s">
        <v>62</v>
      </c>
      <c r="AH10" s="367" t="s">
        <v>62</v>
      </c>
      <c r="AJ10" s="302" t="s">
        <v>62</v>
      </c>
      <c r="AK10" s="523" t="s">
        <v>62</v>
      </c>
      <c r="AL10" s="523" t="s">
        <v>62</v>
      </c>
      <c r="AM10" s="367" t="s">
        <v>62</v>
      </c>
      <c r="AO10" s="302" t="s">
        <v>62</v>
      </c>
      <c r="AP10" s="523"/>
      <c r="AQ10" s="523"/>
      <c r="AR10" s="367"/>
    </row>
    <row r="11" spans="1:491" s="10" customFormat="1" ht="20.100000000000001" customHeight="1">
      <c r="A11" s="208" t="s">
        <v>51</v>
      </c>
      <c r="B11" s="686" t="s">
        <v>371</v>
      </c>
      <c r="C11" s="225">
        <v>2.3109999999999999</v>
      </c>
      <c r="D11" s="225">
        <v>4.6020000000000003</v>
      </c>
      <c r="E11" s="225">
        <v>6.1379999999999999</v>
      </c>
      <c r="F11" s="294">
        <v>9.2439999999999998</v>
      </c>
      <c r="G11" s="224">
        <v>3.504</v>
      </c>
      <c r="H11" s="225">
        <v>5.843</v>
      </c>
      <c r="I11" s="225">
        <v>6.3049999999999997</v>
      </c>
      <c r="J11" s="294">
        <v>6.407</v>
      </c>
      <c r="K11" s="234">
        <v>4.1000000000000002E-2</v>
      </c>
      <c r="L11" s="234">
        <v>0.1</v>
      </c>
      <c r="M11" s="234">
        <v>30.4</v>
      </c>
      <c r="N11" s="235">
        <v>30.5</v>
      </c>
      <c r="O11" s="224">
        <v>0.1</v>
      </c>
      <c r="P11" s="225">
        <v>0.5</v>
      </c>
      <c r="Q11" s="225">
        <v>0.5</v>
      </c>
      <c r="R11" s="226">
        <v>1.4</v>
      </c>
      <c r="S11" s="302" t="s">
        <v>62</v>
      </c>
      <c r="T11" s="303" t="s">
        <v>62</v>
      </c>
      <c r="U11" s="303" t="s">
        <v>62</v>
      </c>
      <c r="V11" s="367" t="s">
        <v>62</v>
      </c>
      <c r="W11" s="302" t="s">
        <v>62</v>
      </c>
      <c r="X11" s="303" t="s">
        <v>62</v>
      </c>
      <c r="Y11" s="303" t="s">
        <v>62</v>
      </c>
      <c r="Z11" s="367" t="s">
        <v>62</v>
      </c>
      <c r="AA11" s="523" t="s">
        <v>62</v>
      </c>
      <c r="AB11" s="523" t="s">
        <v>62</v>
      </c>
      <c r="AC11" s="523" t="s">
        <v>62</v>
      </c>
      <c r="AD11" s="367" t="s">
        <v>62</v>
      </c>
      <c r="AE11" s="523" t="s">
        <v>62</v>
      </c>
      <c r="AF11" s="523" t="s">
        <v>62</v>
      </c>
      <c r="AG11" s="523" t="s">
        <v>62</v>
      </c>
      <c r="AH11" s="367" t="s">
        <v>62</v>
      </c>
      <c r="AJ11" s="302" t="s">
        <v>62</v>
      </c>
      <c r="AK11" s="523" t="s">
        <v>62</v>
      </c>
      <c r="AL11" s="523" t="s">
        <v>62</v>
      </c>
      <c r="AM11" s="367" t="s">
        <v>62</v>
      </c>
      <c r="AO11" s="302" t="s">
        <v>62</v>
      </c>
      <c r="AP11" s="523"/>
      <c r="AQ11" s="523"/>
      <c r="AR11" s="367"/>
    </row>
    <row r="12" spans="1:491" s="10" customFormat="1" ht="20.100000000000001" customHeight="1">
      <c r="A12" s="208" t="s">
        <v>29</v>
      </c>
      <c r="B12" s="686" t="s">
        <v>372</v>
      </c>
      <c r="C12" s="225">
        <v>52.017000000000003</v>
      </c>
      <c r="D12" s="225">
        <v>105.822</v>
      </c>
      <c r="E12" s="225">
        <v>156.893</v>
      </c>
      <c r="F12" s="294">
        <v>205.185</v>
      </c>
      <c r="G12" s="224">
        <v>46.368000000000002</v>
      </c>
      <c r="H12" s="225">
        <v>93.388999999999996</v>
      </c>
      <c r="I12" s="225">
        <v>140.42699999999999</v>
      </c>
      <c r="J12" s="294">
        <v>183.81100000000001</v>
      </c>
      <c r="K12" s="234">
        <v>90.381</v>
      </c>
      <c r="L12" s="234">
        <v>248.5</v>
      </c>
      <c r="M12" s="234">
        <v>421.4</v>
      </c>
      <c r="N12" s="235">
        <v>603.70000000000005</v>
      </c>
      <c r="O12" s="224">
        <v>177.4</v>
      </c>
      <c r="P12" s="225">
        <v>348.5</v>
      </c>
      <c r="Q12" s="225">
        <v>581.29999999999995</v>
      </c>
      <c r="R12" s="226">
        <v>763.6</v>
      </c>
      <c r="S12" s="224">
        <v>144.69999999999999</v>
      </c>
      <c r="T12" s="225">
        <v>285.89999999999998</v>
      </c>
      <c r="U12" s="225">
        <v>417.4</v>
      </c>
      <c r="V12" s="226">
        <v>541.9</v>
      </c>
      <c r="W12" s="224">
        <v>114.5</v>
      </c>
      <c r="X12" s="225">
        <v>228.7</v>
      </c>
      <c r="Y12" s="225">
        <v>331.1</v>
      </c>
      <c r="Z12" s="226">
        <v>432.3</v>
      </c>
      <c r="AA12" s="520">
        <v>68.5</v>
      </c>
      <c r="AB12" s="520">
        <v>166.7</v>
      </c>
      <c r="AC12" s="520">
        <v>269</v>
      </c>
      <c r="AD12" s="226">
        <v>401.6</v>
      </c>
      <c r="AE12" s="520">
        <v>94.5</v>
      </c>
      <c r="AF12" s="520">
        <v>189.2</v>
      </c>
      <c r="AG12" s="520">
        <v>291</v>
      </c>
      <c r="AH12" s="226">
        <v>388.2</v>
      </c>
      <c r="AJ12" s="224">
        <v>107.2</v>
      </c>
      <c r="AK12" s="520">
        <v>214.3</v>
      </c>
      <c r="AL12" s="520">
        <v>327.5</v>
      </c>
      <c r="AM12" s="226">
        <v>437.8</v>
      </c>
      <c r="AO12" s="224">
        <v>111.9</v>
      </c>
      <c r="AP12" s="520"/>
      <c r="AQ12" s="520"/>
      <c r="AR12" s="226"/>
    </row>
    <row r="13" spans="1:491" s="10" customFormat="1" ht="20.100000000000001" customHeight="1">
      <c r="A13" s="208" t="s">
        <v>30</v>
      </c>
      <c r="B13" s="686" t="s">
        <v>373</v>
      </c>
      <c r="C13" s="225">
        <v>-7.2490000000000006</v>
      </c>
      <c r="D13" s="225">
        <v>-7.3810000000000002</v>
      </c>
      <c r="E13" s="225">
        <v>1.093</v>
      </c>
      <c r="F13" s="294">
        <v>16.173000000000002</v>
      </c>
      <c r="G13" s="224">
        <v>11.273</v>
      </c>
      <c r="H13" s="225">
        <v>4.4740000000000002</v>
      </c>
      <c r="I13" s="225">
        <v>5.9119999999999999</v>
      </c>
      <c r="J13" s="294">
        <v>14.839</v>
      </c>
      <c r="K13" s="234">
        <v>-16.302</v>
      </c>
      <c r="L13" s="234">
        <v>-41.8</v>
      </c>
      <c r="M13" s="234">
        <v>-14.7</v>
      </c>
      <c r="N13" s="235">
        <v>0.5</v>
      </c>
      <c r="O13" s="224">
        <v>48.6</v>
      </c>
      <c r="P13" s="225">
        <v>45.6</v>
      </c>
      <c r="Q13" s="225">
        <v>43.3</v>
      </c>
      <c r="R13" s="226">
        <v>26.4</v>
      </c>
      <c r="S13" s="224">
        <v>21.5</v>
      </c>
      <c r="T13" s="225">
        <v>11.7</v>
      </c>
      <c r="U13" s="225">
        <v>0.7</v>
      </c>
      <c r="V13" s="226">
        <v>3</v>
      </c>
      <c r="W13" s="224">
        <v>41.5</v>
      </c>
      <c r="X13" s="225">
        <v>-0.3</v>
      </c>
      <c r="Y13" s="225">
        <v>-16.899999999999999</v>
      </c>
      <c r="Z13" s="226">
        <v>-5</v>
      </c>
      <c r="AA13" s="520">
        <v>7.7</v>
      </c>
      <c r="AB13" s="520">
        <v>-45.1</v>
      </c>
      <c r="AC13" s="520">
        <v>-70.8</v>
      </c>
      <c r="AD13" s="226">
        <v>-77.2</v>
      </c>
      <c r="AE13" s="520">
        <v>60.3</v>
      </c>
      <c r="AF13" s="520">
        <v>51.4</v>
      </c>
      <c r="AG13" s="520">
        <v>36.299999999999997</v>
      </c>
      <c r="AH13" s="226">
        <v>89.1</v>
      </c>
      <c r="AJ13" s="224">
        <v>60.3</v>
      </c>
      <c r="AK13" s="520">
        <v>51.4</v>
      </c>
      <c r="AL13" s="520">
        <v>36.299999999999997</v>
      </c>
      <c r="AM13" s="226">
        <v>89.1</v>
      </c>
      <c r="AO13" s="224">
        <v>-85.7</v>
      </c>
      <c r="AP13" s="520"/>
      <c r="AQ13" s="520"/>
      <c r="AR13" s="226"/>
    </row>
    <row r="14" spans="1:491" s="10" customFormat="1" ht="20.100000000000001" customHeight="1">
      <c r="A14" s="208" t="s">
        <v>31</v>
      </c>
      <c r="B14" s="686" t="s">
        <v>374</v>
      </c>
      <c r="C14" s="225">
        <v>-48.496000000000002</v>
      </c>
      <c r="D14" s="225">
        <v>-85.073000000000008</v>
      </c>
      <c r="E14" s="225">
        <v>-90.59</v>
      </c>
      <c r="F14" s="294">
        <v>-106.816</v>
      </c>
      <c r="G14" s="224">
        <v>-18.654</v>
      </c>
      <c r="H14" s="225">
        <v>-16.358000000000001</v>
      </c>
      <c r="I14" s="225">
        <v>16.681000000000001</v>
      </c>
      <c r="J14" s="294">
        <v>60.908000000000001</v>
      </c>
      <c r="K14" s="234">
        <v>-5.1610000000000005</v>
      </c>
      <c r="L14" s="234">
        <v>-29.2</v>
      </c>
      <c r="M14" s="234">
        <v>-87.6</v>
      </c>
      <c r="N14" s="235">
        <v>-191.9</v>
      </c>
      <c r="O14" s="224">
        <v>-211.8</v>
      </c>
      <c r="P14" s="225">
        <v>-581.20000000000005</v>
      </c>
      <c r="Q14" s="225">
        <v>-349.3</v>
      </c>
      <c r="R14" s="226">
        <v>-478.2</v>
      </c>
      <c r="S14" s="224">
        <v>-33.9</v>
      </c>
      <c r="T14" s="225">
        <v>-105.3</v>
      </c>
      <c r="U14" s="225">
        <v>-164.6</v>
      </c>
      <c r="V14" s="226">
        <v>-329.9</v>
      </c>
      <c r="W14" s="224">
        <v>21.5</v>
      </c>
      <c r="X14" s="225">
        <v>-112.7</v>
      </c>
      <c r="Y14" s="225">
        <v>-224.5</v>
      </c>
      <c r="Z14" s="226">
        <v>-470.8</v>
      </c>
      <c r="AA14" s="520">
        <v>38.1</v>
      </c>
      <c r="AB14" s="520">
        <v>-516.5</v>
      </c>
      <c r="AC14" s="520">
        <v>-266.89999999999998</v>
      </c>
      <c r="AD14" s="226">
        <v>-289.10000000000002</v>
      </c>
      <c r="AE14" s="520">
        <v>155.9</v>
      </c>
      <c r="AF14" s="520">
        <v>8.1</v>
      </c>
      <c r="AG14" s="520">
        <v>-51.3</v>
      </c>
      <c r="AH14" s="226">
        <v>-312.5</v>
      </c>
      <c r="AJ14" s="224">
        <v>158.4</v>
      </c>
      <c r="AK14" s="520">
        <v>12.4</v>
      </c>
      <c r="AL14" s="520">
        <v>-48.3</v>
      </c>
      <c r="AM14" s="226">
        <v>-311.8</v>
      </c>
      <c r="AO14" s="224">
        <v>185.1</v>
      </c>
      <c r="AP14" s="520"/>
      <c r="AQ14" s="520"/>
      <c r="AR14" s="226"/>
    </row>
    <row r="15" spans="1:491" s="10" customFormat="1" ht="20.100000000000001" customHeight="1">
      <c r="A15" s="601" t="s">
        <v>218</v>
      </c>
      <c r="B15" s="687" t="s">
        <v>375</v>
      </c>
      <c r="C15" s="225">
        <v>53.564</v>
      </c>
      <c r="D15" s="225">
        <v>51.881</v>
      </c>
      <c r="E15" s="225">
        <v>66.406999999999996</v>
      </c>
      <c r="F15" s="294">
        <v>67.872</v>
      </c>
      <c r="G15" s="224">
        <v>-36.840000000000003</v>
      </c>
      <c r="H15" s="225">
        <v>-56.231999999999999</v>
      </c>
      <c r="I15" s="225">
        <v>-85.896000000000001</v>
      </c>
      <c r="J15" s="294">
        <v>-104.93900000000001</v>
      </c>
      <c r="K15" s="234">
        <v>31.469000000000001</v>
      </c>
      <c r="L15" s="234">
        <v>-73.8</v>
      </c>
      <c r="M15" s="234">
        <v>-175.9</v>
      </c>
      <c r="N15" s="235">
        <v>-277.7</v>
      </c>
      <c r="O15" s="224">
        <v>-216.1</v>
      </c>
      <c r="P15" s="225">
        <v>69.3</v>
      </c>
      <c r="Q15" s="225">
        <v>-184.3</v>
      </c>
      <c r="R15" s="226">
        <v>-118</v>
      </c>
      <c r="S15" s="224">
        <v>-205.9</v>
      </c>
      <c r="T15" s="225">
        <v>-106.7</v>
      </c>
      <c r="U15" s="225">
        <v>-141.30000000000001</v>
      </c>
      <c r="V15" s="226">
        <v>-33.299999999999997</v>
      </c>
      <c r="W15" s="224">
        <v>-181.5</v>
      </c>
      <c r="X15" s="225">
        <v>-112.9</v>
      </c>
      <c r="Y15" s="225">
        <v>-90.1</v>
      </c>
      <c r="Z15" s="226">
        <v>183.1</v>
      </c>
      <c r="AA15" s="520">
        <v>-259.2</v>
      </c>
      <c r="AB15" s="520">
        <v>125.8</v>
      </c>
      <c r="AC15" s="520">
        <v>88</v>
      </c>
      <c r="AD15" s="226">
        <v>-44.2</v>
      </c>
      <c r="AE15" s="520">
        <v>-379.7</v>
      </c>
      <c r="AF15" s="520">
        <v>-183.1</v>
      </c>
      <c r="AG15" s="520">
        <v>-163.69999999999999</v>
      </c>
      <c r="AH15" s="226">
        <v>64.8</v>
      </c>
      <c r="AJ15" s="224">
        <v>-439.5</v>
      </c>
      <c r="AK15" s="520">
        <v>-264.7</v>
      </c>
      <c r="AL15" s="520">
        <v>-266.8</v>
      </c>
      <c r="AM15" s="226">
        <v>-25.7</v>
      </c>
      <c r="AO15" s="224">
        <v>-138.9</v>
      </c>
      <c r="AP15" s="520"/>
      <c r="AQ15" s="520"/>
      <c r="AR15" s="226"/>
    </row>
    <row r="16" spans="1:491" s="10" customFormat="1" ht="20.100000000000001" customHeight="1">
      <c r="A16" s="208" t="s">
        <v>196</v>
      </c>
      <c r="B16" s="686" t="s">
        <v>376</v>
      </c>
      <c r="C16" s="225"/>
      <c r="D16" s="225"/>
      <c r="E16" s="225"/>
      <c r="F16" s="294"/>
      <c r="G16" s="224"/>
      <c r="H16" s="225"/>
      <c r="I16" s="225"/>
      <c r="J16" s="294"/>
      <c r="K16" s="234"/>
      <c r="L16" s="234"/>
      <c r="M16" s="234"/>
      <c r="N16" s="235"/>
      <c r="O16" s="224"/>
      <c r="P16" s="225"/>
      <c r="Q16" s="225"/>
      <c r="R16" s="226"/>
      <c r="S16" s="224"/>
      <c r="T16" s="225"/>
      <c r="U16" s="225"/>
      <c r="V16" s="226"/>
      <c r="W16" s="224"/>
      <c r="X16" s="225"/>
      <c r="Y16" s="225"/>
      <c r="Z16" s="226"/>
      <c r="AA16" s="520">
        <v>29.6</v>
      </c>
      <c r="AB16" s="520">
        <v>48.1</v>
      </c>
      <c r="AC16" s="520">
        <v>55.2</v>
      </c>
      <c r="AD16" s="226">
        <v>47.8</v>
      </c>
      <c r="AE16" s="520">
        <v>-9.1999999999999993</v>
      </c>
      <c r="AF16" s="520">
        <v>-3.3</v>
      </c>
      <c r="AG16" s="520">
        <v>9.1999999999999993</v>
      </c>
      <c r="AH16" s="226">
        <v>9.6999999999999993</v>
      </c>
      <c r="AJ16" s="224">
        <v>-9.1999999999999993</v>
      </c>
      <c r="AK16" s="520">
        <v>-3.3</v>
      </c>
      <c r="AL16" s="520">
        <v>9.1999999999999993</v>
      </c>
      <c r="AM16" s="226">
        <v>9.6999999999999993</v>
      </c>
      <c r="AO16" s="224">
        <v>10.6</v>
      </c>
      <c r="AP16" s="520"/>
      <c r="AQ16" s="520"/>
      <c r="AR16" s="226"/>
    </row>
    <row r="17" spans="1:44" s="10" customFormat="1" ht="20.100000000000001" customHeight="1">
      <c r="A17" s="208" t="s">
        <v>197</v>
      </c>
      <c r="B17" s="686" t="s">
        <v>377</v>
      </c>
      <c r="C17" s="225"/>
      <c r="D17" s="225"/>
      <c r="E17" s="225"/>
      <c r="F17" s="294"/>
      <c r="G17" s="224"/>
      <c r="H17" s="225"/>
      <c r="I17" s="225"/>
      <c r="J17" s="294"/>
      <c r="K17" s="234"/>
      <c r="L17" s="234"/>
      <c r="M17" s="234"/>
      <c r="N17" s="235"/>
      <c r="O17" s="224"/>
      <c r="P17" s="225"/>
      <c r="Q17" s="225"/>
      <c r="R17" s="226"/>
      <c r="S17" s="224"/>
      <c r="T17" s="225"/>
      <c r="U17" s="225"/>
      <c r="V17" s="226"/>
      <c r="W17" s="224"/>
      <c r="X17" s="225"/>
      <c r="Y17" s="225"/>
      <c r="Z17" s="226"/>
      <c r="AA17" s="520">
        <v>-9.6</v>
      </c>
      <c r="AB17" s="520">
        <v>39.5</v>
      </c>
      <c r="AC17" s="520">
        <v>43.2</v>
      </c>
      <c r="AD17" s="226">
        <v>107.6</v>
      </c>
      <c r="AE17" s="520">
        <v>17.399999999999999</v>
      </c>
      <c r="AF17" s="520">
        <v>7</v>
      </c>
      <c r="AG17" s="520">
        <v>24.4</v>
      </c>
      <c r="AH17" s="226">
        <v>7.9</v>
      </c>
      <c r="AJ17" s="224">
        <v>17.399999999999999</v>
      </c>
      <c r="AK17" s="520">
        <v>7</v>
      </c>
      <c r="AL17" s="520">
        <v>24.4</v>
      </c>
      <c r="AM17" s="226">
        <v>7.9</v>
      </c>
      <c r="AO17" s="224">
        <v>12</v>
      </c>
      <c r="AP17" s="520"/>
      <c r="AQ17" s="520"/>
      <c r="AR17" s="226"/>
    </row>
    <row r="18" spans="1:44" s="10" customFormat="1" ht="20.100000000000001" customHeight="1">
      <c r="A18" s="208" t="s">
        <v>52</v>
      </c>
      <c r="B18" s="686" t="s">
        <v>378</v>
      </c>
      <c r="C18" s="225">
        <v>-0.186</v>
      </c>
      <c r="D18" s="225">
        <v>4.0730000000000004</v>
      </c>
      <c r="E18" s="225">
        <v>0.502</v>
      </c>
      <c r="F18" s="294">
        <v>2.093</v>
      </c>
      <c r="G18" s="224">
        <v>-1.048</v>
      </c>
      <c r="H18" s="225">
        <v>2.4170000000000003</v>
      </c>
      <c r="I18" s="225">
        <v>-3.5390000000000001</v>
      </c>
      <c r="J18" s="294">
        <v>6.4770000000000003</v>
      </c>
      <c r="K18" s="234">
        <v>-13.309000000000001</v>
      </c>
      <c r="L18" s="234">
        <v>-1.5</v>
      </c>
      <c r="M18" s="234">
        <v>-17.399999999999999</v>
      </c>
      <c r="N18" s="235">
        <v>-4.9000000000000004</v>
      </c>
      <c r="O18" s="224">
        <v>-11.7</v>
      </c>
      <c r="P18" s="225">
        <v>-7.6</v>
      </c>
      <c r="Q18" s="225">
        <v>-17.7</v>
      </c>
      <c r="R18" s="226">
        <v>-3.9</v>
      </c>
      <c r="S18" s="224">
        <v>-11.1</v>
      </c>
      <c r="T18" s="225">
        <v>1</v>
      </c>
      <c r="U18" s="225">
        <v>-5.6</v>
      </c>
      <c r="V18" s="226">
        <v>-6.1</v>
      </c>
      <c r="W18" s="302" t="s">
        <v>62</v>
      </c>
      <c r="X18" s="225">
        <v>9.4</v>
      </c>
      <c r="Y18" s="225">
        <v>1.4</v>
      </c>
      <c r="Z18" s="226">
        <v>3.9</v>
      </c>
      <c r="AA18" s="523" t="s">
        <v>62</v>
      </c>
      <c r="AB18" s="523" t="s">
        <v>62</v>
      </c>
      <c r="AC18" s="523" t="s">
        <v>62</v>
      </c>
      <c r="AD18" s="367" t="s">
        <v>62</v>
      </c>
      <c r="AE18" s="523" t="s">
        <v>62</v>
      </c>
      <c r="AF18" s="523" t="s">
        <v>62</v>
      </c>
      <c r="AG18" s="523" t="s">
        <v>62</v>
      </c>
      <c r="AH18" s="367" t="s">
        <v>62</v>
      </c>
      <c r="AJ18" s="302" t="s">
        <v>62</v>
      </c>
      <c r="AK18" s="523" t="s">
        <v>62</v>
      </c>
      <c r="AL18" s="523" t="s">
        <v>62</v>
      </c>
      <c r="AM18" s="367" t="s">
        <v>62</v>
      </c>
      <c r="AO18" s="302" t="s">
        <v>62</v>
      </c>
      <c r="AP18" s="523"/>
      <c r="AQ18" s="523"/>
      <c r="AR18" s="367"/>
    </row>
    <row r="19" spans="1:44" s="10" customFormat="1" ht="20.100000000000001" customHeight="1">
      <c r="A19" s="208" t="s">
        <v>53</v>
      </c>
      <c r="B19" s="686" t="s">
        <v>379</v>
      </c>
      <c r="C19" s="225">
        <v>-9.7880000000000003</v>
      </c>
      <c r="D19" s="225">
        <v>-10.354000000000001</v>
      </c>
      <c r="E19" s="225">
        <v>-21.978000000000002</v>
      </c>
      <c r="F19" s="294">
        <v>-31.345000000000002</v>
      </c>
      <c r="G19" s="224">
        <v>3.66</v>
      </c>
      <c r="H19" s="225">
        <v>9.0690000000000008</v>
      </c>
      <c r="I19" s="225">
        <v>11.329000000000001</v>
      </c>
      <c r="J19" s="294">
        <v>14.404</v>
      </c>
      <c r="K19" s="234">
        <v>11.066000000000001</v>
      </c>
      <c r="L19" s="234">
        <v>11.1</v>
      </c>
      <c r="M19" s="234">
        <v>-0.2</v>
      </c>
      <c r="N19" s="235">
        <v>-3.9</v>
      </c>
      <c r="O19" s="224">
        <v>-0.6</v>
      </c>
      <c r="P19" s="225">
        <v>5.3</v>
      </c>
      <c r="Q19" s="225">
        <v>4.8</v>
      </c>
      <c r="R19" s="226">
        <v>6.6</v>
      </c>
      <c r="S19" s="224">
        <v>2.5</v>
      </c>
      <c r="T19" s="225">
        <v>4.7</v>
      </c>
      <c r="U19" s="225">
        <v>7.3</v>
      </c>
      <c r="V19" s="226">
        <v>9.8000000000000007</v>
      </c>
      <c r="W19" s="302" t="s">
        <v>62</v>
      </c>
      <c r="X19" s="303" t="s">
        <v>62</v>
      </c>
      <c r="Y19" s="303" t="s">
        <v>62</v>
      </c>
      <c r="Z19" s="367" t="s">
        <v>62</v>
      </c>
      <c r="AA19" s="523" t="s">
        <v>62</v>
      </c>
      <c r="AB19" s="523" t="s">
        <v>62</v>
      </c>
      <c r="AC19" s="523" t="s">
        <v>62</v>
      </c>
      <c r="AD19" s="367" t="s">
        <v>62</v>
      </c>
      <c r="AE19" s="523" t="s">
        <v>62</v>
      </c>
      <c r="AF19" s="523" t="s">
        <v>62</v>
      </c>
      <c r="AG19" s="523" t="s">
        <v>62</v>
      </c>
      <c r="AH19" s="367" t="s">
        <v>62</v>
      </c>
      <c r="AJ19" s="302" t="s">
        <v>62</v>
      </c>
      <c r="AK19" s="523" t="s">
        <v>62</v>
      </c>
      <c r="AL19" s="523" t="s">
        <v>62</v>
      </c>
      <c r="AM19" s="367" t="s">
        <v>62</v>
      </c>
      <c r="AO19" s="302" t="s">
        <v>62</v>
      </c>
      <c r="AP19" s="523"/>
      <c r="AQ19" s="523"/>
      <c r="AR19" s="367"/>
    </row>
    <row r="20" spans="1:44" s="362" customFormat="1" ht="20.100000000000001" customHeight="1">
      <c r="A20" s="393" t="s">
        <v>183</v>
      </c>
      <c r="B20" s="688" t="s">
        <v>380</v>
      </c>
      <c r="C20" s="244">
        <v>-0.73</v>
      </c>
      <c r="D20" s="244">
        <v>-1.5010000000000001</v>
      </c>
      <c r="E20" s="244">
        <v>-2.044</v>
      </c>
      <c r="F20" s="394">
        <v>-2.8970000000000002</v>
      </c>
      <c r="G20" s="395">
        <v>-0.76200000000000001</v>
      </c>
      <c r="H20" s="244">
        <v>-1.58</v>
      </c>
      <c r="I20" s="244">
        <v>-2.3290000000000002</v>
      </c>
      <c r="J20" s="394">
        <v>-2.9239999999999999</v>
      </c>
      <c r="K20" s="396">
        <v>-0.63300000000000001</v>
      </c>
      <c r="L20" s="396">
        <v>-1.3</v>
      </c>
      <c r="M20" s="396">
        <v>-2</v>
      </c>
      <c r="N20" s="235">
        <v>-2.6</v>
      </c>
      <c r="O20" s="395">
        <v>-0.5</v>
      </c>
      <c r="P20" s="244">
        <v>-1.4</v>
      </c>
      <c r="Q20" s="244">
        <v>-1.9</v>
      </c>
      <c r="R20" s="226">
        <v>-2.6</v>
      </c>
      <c r="S20" s="395">
        <v>-0.8</v>
      </c>
      <c r="T20" s="244">
        <v>0</v>
      </c>
      <c r="U20" s="244">
        <v>0</v>
      </c>
      <c r="V20" s="226">
        <v>0</v>
      </c>
      <c r="W20" s="400" t="s">
        <v>62</v>
      </c>
      <c r="X20" s="401" t="s">
        <v>62</v>
      </c>
      <c r="Y20" s="401" t="s">
        <v>62</v>
      </c>
      <c r="Z20" s="367" t="s">
        <v>62</v>
      </c>
      <c r="AA20" s="523" t="s">
        <v>62</v>
      </c>
      <c r="AB20" s="525" t="s">
        <v>62</v>
      </c>
      <c r="AC20" s="525" t="s">
        <v>62</v>
      </c>
      <c r="AD20" s="367" t="s">
        <v>62</v>
      </c>
      <c r="AE20" s="523" t="s">
        <v>62</v>
      </c>
      <c r="AF20" s="525" t="s">
        <v>62</v>
      </c>
      <c r="AG20" s="525" t="s">
        <v>62</v>
      </c>
      <c r="AH20" s="367" t="s">
        <v>62</v>
      </c>
      <c r="AJ20" s="400" t="s">
        <v>62</v>
      </c>
      <c r="AK20" s="525" t="s">
        <v>62</v>
      </c>
      <c r="AL20" s="525" t="s">
        <v>62</v>
      </c>
      <c r="AM20" s="367" t="s">
        <v>62</v>
      </c>
      <c r="AO20" s="400" t="s">
        <v>62</v>
      </c>
      <c r="AP20" s="525"/>
      <c r="AQ20" s="525"/>
      <c r="AR20" s="367"/>
    </row>
    <row r="21" spans="1:44" s="362" customFormat="1" ht="20.100000000000001" customHeight="1">
      <c r="A21" s="602" t="s">
        <v>219</v>
      </c>
      <c r="B21" s="689" t="s">
        <v>381</v>
      </c>
      <c r="C21" s="244">
        <v>-0.73</v>
      </c>
      <c r="D21" s="244"/>
      <c r="E21" s="244"/>
      <c r="F21" s="394"/>
      <c r="G21" s="395"/>
      <c r="H21" s="244"/>
      <c r="I21" s="244"/>
      <c r="J21" s="394"/>
      <c r="K21" s="396"/>
      <c r="L21" s="396"/>
      <c r="M21" s="396"/>
      <c r="N21" s="235"/>
      <c r="O21" s="395"/>
      <c r="P21" s="244"/>
      <c r="Q21" s="244"/>
      <c r="R21" s="226"/>
      <c r="S21" s="395"/>
      <c r="T21" s="244"/>
      <c r="U21" s="244"/>
      <c r="V21" s="226">
        <v>0</v>
      </c>
      <c r="W21" s="400"/>
      <c r="X21" s="401"/>
      <c r="Y21" s="401"/>
      <c r="Z21" s="226">
        <v>-2.8</v>
      </c>
      <c r="AA21" s="520">
        <v>-5.2</v>
      </c>
      <c r="AB21" s="520">
        <v>-5.0999999999999996</v>
      </c>
      <c r="AC21" s="520">
        <v>-1.6</v>
      </c>
      <c r="AD21" s="226">
        <v>1.2</v>
      </c>
      <c r="AE21" s="520">
        <v>1.7</v>
      </c>
      <c r="AF21" s="520">
        <v>3.6</v>
      </c>
      <c r="AG21" s="520">
        <v>4.9000000000000004</v>
      </c>
      <c r="AH21" s="226">
        <v>6.5</v>
      </c>
      <c r="AJ21" s="224">
        <v>1.7</v>
      </c>
      <c r="AK21" s="520">
        <v>3.6</v>
      </c>
      <c r="AL21" s="520">
        <v>4.9000000000000004</v>
      </c>
      <c r="AM21" s="226">
        <v>6.5</v>
      </c>
      <c r="AO21" s="224">
        <v>-16.3</v>
      </c>
      <c r="AP21" s="520"/>
      <c r="AQ21" s="520"/>
      <c r="AR21" s="226"/>
    </row>
    <row r="22" spans="1:44" s="10" customFormat="1" ht="20.100000000000001" customHeight="1">
      <c r="A22" s="208" t="s">
        <v>60</v>
      </c>
      <c r="B22" s="686" t="s">
        <v>382</v>
      </c>
      <c r="C22" s="225">
        <v>-87.786000000000001</v>
      </c>
      <c r="D22" s="225">
        <v>-51.798000000000002</v>
      </c>
      <c r="E22" s="225">
        <v>-102.06700000000001</v>
      </c>
      <c r="F22" s="294">
        <v>-111.07600000000001</v>
      </c>
      <c r="G22" s="224">
        <v>25.975999999999999</v>
      </c>
      <c r="H22" s="225">
        <v>77.412999999999997</v>
      </c>
      <c r="I22" s="225">
        <v>39.252000000000002</v>
      </c>
      <c r="J22" s="294">
        <v>16.294</v>
      </c>
      <c r="K22" s="234">
        <v>10.337</v>
      </c>
      <c r="L22" s="234">
        <v>8.8000000000000007</v>
      </c>
      <c r="M22" s="234">
        <v>164.9</v>
      </c>
      <c r="N22" s="235">
        <v>369.9</v>
      </c>
      <c r="O22" s="224">
        <v>37.1</v>
      </c>
      <c r="P22" s="225">
        <v>99.2</v>
      </c>
      <c r="Q22" s="225">
        <v>135.80000000000001</v>
      </c>
      <c r="R22" s="226">
        <v>222</v>
      </c>
      <c r="S22" s="224">
        <v>250.2</v>
      </c>
      <c r="T22" s="225">
        <v>276.10000000000002</v>
      </c>
      <c r="U22" s="225">
        <v>258.3</v>
      </c>
      <c r="V22" s="226">
        <v>270.89999999999998</v>
      </c>
      <c r="W22" s="224">
        <v>-28.4</v>
      </c>
      <c r="X22" s="225">
        <v>-27.4</v>
      </c>
      <c r="Y22" s="225">
        <v>-15.1</v>
      </c>
      <c r="Z22" s="226">
        <v>-31.1</v>
      </c>
      <c r="AA22" s="520">
        <v>4.5999999999999996</v>
      </c>
      <c r="AB22" s="520">
        <v>24.1</v>
      </c>
      <c r="AC22" s="520">
        <v>11.1</v>
      </c>
      <c r="AD22" s="226">
        <v>15.8</v>
      </c>
      <c r="AE22" s="520">
        <v>1.1000000000000001</v>
      </c>
      <c r="AF22" s="520">
        <v>-3.3</v>
      </c>
      <c r="AG22" s="520">
        <v>5.7</v>
      </c>
      <c r="AH22" s="226">
        <v>-2.2999999999999998</v>
      </c>
      <c r="AJ22" s="224">
        <v>1.9</v>
      </c>
      <c r="AK22" s="520">
        <v>-6.3</v>
      </c>
      <c r="AL22" s="520">
        <v>12.2</v>
      </c>
      <c r="AM22" s="226">
        <v>-4.8</v>
      </c>
      <c r="AO22" s="224">
        <v>41.2</v>
      </c>
      <c r="AP22" s="520"/>
      <c r="AQ22" s="520"/>
      <c r="AR22" s="226"/>
    </row>
    <row r="23" spans="1:44" s="10" customFormat="1" ht="20.100000000000001" customHeight="1">
      <c r="A23" s="208" t="s">
        <v>32</v>
      </c>
      <c r="B23" s="686" t="s">
        <v>261</v>
      </c>
      <c r="C23" s="225">
        <v>41.158999999999999</v>
      </c>
      <c r="D23" s="225">
        <v>54.56</v>
      </c>
      <c r="E23" s="225">
        <v>80.768000000000001</v>
      </c>
      <c r="F23" s="294">
        <v>97.349000000000004</v>
      </c>
      <c r="G23" s="224">
        <v>14.031000000000001</v>
      </c>
      <c r="H23" s="225">
        <v>27.457000000000001</v>
      </c>
      <c r="I23" s="225">
        <v>51.835000000000001</v>
      </c>
      <c r="J23" s="294">
        <v>67.376000000000005</v>
      </c>
      <c r="K23" s="234">
        <v>14.384</v>
      </c>
      <c r="L23" s="234">
        <v>31.1</v>
      </c>
      <c r="M23" s="234">
        <v>32.200000000000003</v>
      </c>
      <c r="N23" s="235">
        <v>21.7</v>
      </c>
      <c r="O23" s="224">
        <v>26</v>
      </c>
      <c r="P23" s="225">
        <v>71.900000000000006</v>
      </c>
      <c r="Q23" s="225">
        <v>182.7</v>
      </c>
      <c r="R23" s="226">
        <v>169</v>
      </c>
      <c r="S23" s="224">
        <v>27.2</v>
      </c>
      <c r="T23" s="225">
        <v>48.4</v>
      </c>
      <c r="U23" s="225">
        <v>113.5</v>
      </c>
      <c r="V23" s="226">
        <v>12.4</v>
      </c>
      <c r="W23" s="224">
        <v>30.8</v>
      </c>
      <c r="X23" s="225">
        <v>138.4</v>
      </c>
      <c r="Y23" s="225">
        <v>192.6</v>
      </c>
      <c r="Z23" s="226">
        <v>389.8</v>
      </c>
      <c r="AA23" s="520">
        <v>72.5</v>
      </c>
      <c r="AB23" s="520">
        <v>171.8</v>
      </c>
      <c r="AC23" s="520">
        <v>247.8</v>
      </c>
      <c r="AD23" s="226">
        <v>490</v>
      </c>
      <c r="AE23" s="520">
        <v>78</v>
      </c>
      <c r="AF23" s="520">
        <v>164.9</v>
      </c>
      <c r="AG23" s="520">
        <v>236.9</v>
      </c>
      <c r="AH23" s="226">
        <v>355.8</v>
      </c>
      <c r="AJ23" s="224">
        <v>77.3</v>
      </c>
      <c r="AK23" s="520">
        <v>163.80000000000001</v>
      </c>
      <c r="AL23" s="520">
        <v>233.3</v>
      </c>
      <c r="AM23" s="226">
        <v>353</v>
      </c>
      <c r="AO23" s="224">
        <v>66.7</v>
      </c>
      <c r="AP23" s="520"/>
      <c r="AQ23" s="520"/>
      <c r="AR23" s="226"/>
    </row>
    <row r="24" spans="1:44" s="10" customFormat="1" ht="20.100000000000001" customHeight="1">
      <c r="A24" s="208" t="s">
        <v>214</v>
      </c>
      <c r="B24" s="687" t="s">
        <v>383</v>
      </c>
      <c r="C24" s="225">
        <v>-38.363</v>
      </c>
      <c r="D24" s="225">
        <v>-76.626000000000005</v>
      </c>
      <c r="E24" s="225">
        <v>-120.02500000000001</v>
      </c>
      <c r="F24" s="294">
        <v>-164.00800000000001</v>
      </c>
      <c r="G24" s="224">
        <v>-40.92</v>
      </c>
      <c r="H24" s="225">
        <v>-81.858999999999995</v>
      </c>
      <c r="I24" s="225">
        <v>-116.813</v>
      </c>
      <c r="J24" s="294">
        <v>-158.85900000000001</v>
      </c>
      <c r="K24" s="234">
        <v>-30.564</v>
      </c>
      <c r="L24" s="234">
        <v>-65.3</v>
      </c>
      <c r="M24" s="234">
        <v>-142.1</v>
      </c>
      <c r="N24" s="235">
        <v>-193.1</v>
      </c>
      <c r="O24" s="224">
        <v>-43.6</v>
      </c>
      <c r="P24" s="225">
        <v>-72.2</v>
      </c>
      <c r="Q24" s="225">
        <v>-96.7</v>
      </c>
      <c r="R24" s="226">
        <v>-134.69999999999999</v>
      </c>
      <c r="S24" s="224">
        <v>-31.1</v>
      </c>
      <c r="T24" s="225">
        <v>-71.2</v>
      </c>
      <c r="U24" s="225">
        <v>-111</v>
      </c>
      <c r="V24" s="226">
        <v>-153</v>
      </c>
      <c r="W24" s="224">
        <v>-33.1</v>
      </c>
      <c r="X24" s="225">
        <v>-65.599999999999994</v>
      </c>
      <c r="Y24" s="225">
        <v>-97.4</v>
      </c>
      <c r="Z24" s="226">
        <v>-137.5</v>
      </c>
      <c r="AA24" s="520">
        <v>-25.7</v>
      </c>
      <c r="AB24" s="520">
        <v>-42.9</v>
      </c>
      <c r="AC24" s="520">
        <v>-61.2</v>
      </c>
      <c r="AD24" s="226">
        <v>-83.9</v>
      </c>
      <c r="AE24" s="520">
        <v>-25.8</v>
      </c>
      <c r="AF24" s="520">
        <v>-48.8</v>
      </c>
      <c r="AG24" s="520">
        <v>-79.5</v>
      </c>
      <c r="AH24" s="226">
        <v>-122.8</v>
      </c>
      <c r="AJ24" s="224">
        <v>-25.8</v>
      </c>
      <c r="AK24" s="520">
        <v>-48.8</v>
      </c>
      <c r="AL24" s="520">
        <v>-79.5</v>
      </c>
      <c r="AM24" s="226">
        <v>-122.8</v>
      </c>
      <c r="AO24" s="224">
        <v>-33.1</v>
      </c>
      <c r="AP24" s="520"/>
      <c r="AQ24" s="520"/>
      <c r="AR24" s="226"/>
    </row>
    <row r="25" spans="1:44" s="10" customFormat="1" ht="30" customHeight="1">
      <c r="A25" s="403" t="s">
        <v>176</v>
      </c>
      <c r="B25" s="688" t="s">
        <v>384</v>
      </c>
      <c r="C25" s="239">
        <v>0</v>
      </c>
      <c r="D25" s="239">
        <v>0</v>
      </c>
      <c r="E25" s="239">
        <v>0</v>
      </c>
      <c r="F25" s="240">
        <v>0</v>
      </c>
      <c r="G25" s="241">
        <v>0</v>
      </c>
      <c r="H25" s="239">
        <v>0</v>
      </c>
      <c r="I25" s="239">
        <v>0</v>
      </c>
      <c r="J25" s="240">
        <v>0</v>
      </c>
      <c r="K25" s="242">
        <v>0</v>
      </c>
      <c r="L25" s="234">
        <v>82.1</v>
      </c>
      <c r="M25" s="234">
        <v>82.1</v>
      </c>
      <c r="N25" s="235">
        <v>82.1</v>
      </c>
      <c r="O25" s="224">
        <v>0</v>
      </c>
      <c r="P25" s="225">
        <v>0</v>
      </c>
      <c r="Q25" s="244">
        <v>-371.4</v>
      </c>
      <c r="R25" s="226">
        <v>-371.4</v>
      </c>
      <c r="S25" s="224">
        <v>0</v>
      </c>
      <c r="T25" s="225">
        <v>0</v>
      </c>
      <c r="U25" s="225">
        <v>0</v>
      </c>
      <c r="V25" s="226">
        <v>0</v>
      </c>
      <c r="W25" s="224">
        <v>0</v>
      </c>
      <c r="X25" s="225">
        <v>0</v>
      </c>
      <c r="Y25" s="225">
        <v>0</v>
      </c>
      <c r="Z25" s="226">
        <v>0</v>
      </c>
      <c r="AA25" s="520">
        <v>0</v>
      </c>
      <c r="AB25" s="225">
        <v>0</v>
      </c>
      <c r="AC25" s="520">
        <v>0</v>
      </c>
      <c r="AD25" s="226">
        <v>0</v>
      </c>
      <c r="AE25" s="520">
        <v>0</v>
      </c>
      <c r="AF25" s="520">
        <v>0</v>
      </c>
      <c r="AG25" s="520">
        <v>0</v>
      </c>
      <c r="AH25" s="226">
        <v>0</v>
      </c>
      <c r="AJ25" s="224">
        <v>0</v>
      </c>
      <c r="AK25" s="520">
        <v>0</v>
      </c>
      <c r="AL25" s="520">
        <v>0</v>
      </c>
      <c r="AM25" s="226">
        <v>0</v>
      </c>
      <c r="AO25" s="224">
        <v>0</v>
      </c>
      <c r="AP25" s="520"/>
      <c r="AQ25" s="520"/>
      <c r="AR25" s="226"/>
    </row>
    <row r="26" spans="1:44" s="10" customFormat="1" ht="20.100000000000001" customHeight="1">
      <c r="A26" s="403" t="s">
        <v>186</v>
      </c>
      <c r="B26" s="688" t="s">
        <v>385</v>
      </c>
      <c r="C26" s="239"/>
      <c r="D26" s="239"/>
      <c r="E26" s="239"/>
      <c r="F26" s="240"/>
      <c r="G26" s="241"/>
      <c r="H26" s="239"/>
      <c r="I26" s="239"/>
      <c r="J26" s="240"/>
      <c r="K26" s="242"/>
      <c r="L26" s="234"/>
      <c r="M26" s="234"/>
      <c r="N26" s="235"/>
      <c r="O26" s="224"/>
      <c r="P26" s="225"/>
      <c r="Q26" s="244"/>
      <c r="R26" s="226"/>
      <c r="S26" s="224"/>
      <c r="T26" s="225"/>
      <c r="U26" s="225"/>
      <c r="V26" s="226">
        <v>0</v>
      </c>
      <c r="W26" s="224">
        <v>58.7</v>
      </c>
      <c r="X26" s="225">
        <v>58.7</v>
      </c>
      <c r="Y26" s="225">
        <v>58.7</v>
      </c>
      <c r="Z26" s="226">
        <v>58.7</v>
      </c>
      <c r="AA26" s="520">
        <v>0</v>
      </c>
      <c r="AB26" s="225">
        <v>0</v>
      </c>
      <c r="AC26" s="300">
        <v>0</v>
      </c>
      <c r="AD26" s="226">
        <v>0</v>
      </c>
      <c r="AE26" s="520">
        <v>0</v>
      </c>
      <c r="AF26" s="520">
        <v>0</v>
      </c>
      <c r="AG26" s="300">
        <v>0</v>
      </c>
      <c r="AH26" s="226">
        <v>0</v>
      </c>
      <c r="AJ26" s="224">
        <v>0</v>
      </c>
      <c r="AK26" s="520">
        <v>0</v>
      </c>
      <c r="AL26" s="300">
        <v>0</v>
      </c>
      <c r="AM26" s="226">
        <v>0</v>
      </c>
      <c r="AO26" s="224">
        <v>0</v>
      </c>
      <c r="AP26" s="520"/>
      <c r="AQ26" s="300"/>
      <c r="AR26" s="226"/>
    </row>
    <row r="27" spans="1:44" s="10" customFormat="1" ht="20.100000000000001" customHeight="1">
      <c r="A27" s="208" t="s">
        <v>175</v>
      </c>
      <c r="B27" s="686" t="s">
        <v>386</v>
      </c>
      <c r="C27" s="239">
        <v>0</v>
      </c>
      <c r="D27" s="239">
        <v>0</v>
      </c>
      <c r="E27" s="239">
        <v>0</v>
      </c>
      <c r="F27" s="240">
        <v>0</v>
      </c>
      <c r="G27" s="241">
        <v>0</v>
      </c>
      <c r="H27" s="239">
        <v>0</v>
      </c>
      <c r="I27" s="239">
        <v>0</v>
      </c>
      <c r="J27" s="240">
        <v>0</v>
      </c>
      <c r="K27" s="242">
        <v>0</v>
      </c>
      <c r="L27" s="234">
        <v>16.5</v>
      </c>
      <c r="M27" s="234">
        <v>55.4</v>
      </c>
      <c r="N27" s="235">
        <v>84.3</v>
      </c>
      <c r="O27" s="224">
        <v>10.6</v>
      </c>
      <c r="P27" s="225">
        <v>33.9</v>
      </c>
      <c r="Q27" s="225">
        <v>37.6</v>
      </c>
      <c r="R27" s="226">
        <v>53</v>
      </c>
      <c r="S27" s="224">
        <v>-174.6</v>
      </c>
      <c r="T27" s="225">
        <v>-160.19999999999999</v>
      </c>
      <c r="U27" s="225">
        <v>-161.9</v>
      </c>
      <c r="V27" s="226">
        <v>-164.9</v>
      </c>
      <c r="W27" s="224">
        <v>-0.1</v>
      </c>
      <c r="X27" s="225">
        <v>0.9</v>
      </c>
      <c r="Y27" s="225">
        <v>-1.3</v>
      </c>
      <c r="Z27" s="226">
        <v>-1.5</v>
      </c>
      <c r="AA27" s="523" t="s">
        <v>62</v>
      </c>
      <c r="AB27" s="523" t="s">
        <v>62</v>
      </c>
      <c r="AC27" s="523" t="s">
        <v>62</v>
      </c>
      <c r="AD27" s="367" t="s">
        <v>62</v>
      </c>
      <c r="AE27" s="523" t="s">
        <v>62</v>
      </c>
      <c r="AF27" s="523" t="s">
        <v>62</v>
      </c>
      <c r="AG27" s="523" t="s">
        <v>62</v>
      </c>
      <c r="AH27" s="367" t="s">
        <v>62</v>
      </c>
      <c r="AJ27" s="302" t="s">
        <v>62</v>
      </c>
      <c r="AK27" s="523" t="s">
        <v>62</v>
      </c>
      <c r="AL27" s="523" t="s">
        <v>62</v>
      </c>
      <c r="AM27" s="367" t="s">
        <v>62</v>
      </c>
      <c r="AO27" s="302" t="s">
        <v>62</v>
      </c>
      <c r="AP27" s="523"/>
      <c r="AQ27" s="523"/>
      <c r="AR27" s="367"/>
    </row>
    <row r="28" spans="1:44" s="10" customFormat="1" ht="20.100000000000001" customHeight="1" thickBot="1">
      <c r="A28" s="208" t="s">
        <v>33</v>
      </c>
      <c r="B28" s="686" t="s">
        <v>387</v>
      </c>
      <c r="C28" s="225">
        <v>0.245</v>
      </c>
      <c r="D28" s="225">
        <v>0.78500000000000003</v>
      </c>
      <c r="E28" s="225">
        <v>1.31</v>
      </c>
      <c r="F28" s="294">
        <v>3.5380000000000003</v>
      </c>
      <c r="G28" s="224">
        <v>1.484</v>
      </c>
      <c r="H28" s="244">
        <f>4.197+4.842</f>
        <v>9.0389999999999997</v>
      </c>
      <c r="I28" s="244">
        <f>5.852+4.842</f>
        <v>10.693999999999999</v>
      </c>
      <c r="J28" s="294">
        <v>11.93</v>
      </c>
      <c r="K28" s="234">
        <v>1.7790000000000001</v>
      </c>
      <c r="L28" s="234">
        <v>10.8</v>
      </c>
      <c r="M28" s="234">
        <v>11.7</v>
      </c>
      <c r="N28" s="235">
        <v>96.1</v>
      </c>
      <c r="O28" s="224">
        <v>-3</v>
      </c>
      <c r="P28" s="225">
        <v>9</v>
      </c>
      <c r="Q28" s="225">
        <v>19.600000000000001</v>
      </c>
      <c r="R28" s="226">
        <v>21.6</v>
      </c>
      <c r="S28" s="224">
        <v>2.5</v>
      </c>
      <c r="T28" s="225">
        <v>-1.9</v>
      </c>
      <c r="U28" s="225">
        <v>22.5</v>
      </c>
      <c r="V28" s="226">
        <v>24</v>
      </c>
      <c r="W28" s="224">
        <v>-2.1</v>
      </c>
      <c r="X28" s="225">
        <v>18.100000000000001</v>
      </c>
      <c r="Y28" s="225">
        <v>51.1</v>
      </c>
      <c r="Z28" s="226">
        <v>55.5</v>
      </c>
      <c r="AA28" s="520">
        <v>-18.2</v>
      </c>
      <c r="AB28" s="520">
        <v>2.5</v>
      </c>
      <c r="AC28" s="520">
        <v>18.2</v>
      </c>
      <c r="AD28" s="226">
        <v>-97.8</v>
      </c>
      <c r="AE28" s="520">
        <v>1.1000000000000001</v>
      </c>
      <c r="AF28" s="520">
        <v>-6.3</v>
      </c>
      <c r="AG28" s="520">
        <v>64.8</v>
      </c>
      <c r="AH28" s="226">
        <v>68.400000000000006</v>
      </c>
      <c r="AJ28" s="224">
        <v>1.1000000000000001</v>
      </c>
      <c r="AK28" s="520">
        <v>-6.3</v>
      </c>
      <c r="AL28" s="520">
        <v>64.8</v>
      </c>
      <c r="AM28" s="226">
        <v>68.400000000000006</v>
      </c>
      <c r="AO28" s="224">
        <v>-5.4</v>
      </c>
      <c r="AP28" s="520"/>
      <c r="AQ28" s="520"/>
      <c r="AR28" s="226"/>
    </row>
    <row r="29" spans="1:44" s="10" customFormat="1" ht="20.100000000000001" customHeight="1" thickBot="1">
      <c r="A29" s="207" t="s">
        <v>36</v>
      </c>
      <c r="B29" s="685" t="s">
        <v>388</v>
      </c>
      <c r="C29" s="222">
        <f t="shared" ref="C29:W29" si="6">C5+C6</f>
        <v>232.697</v>
      </c>
      <c r="D29" s="222">
        <f t="shared" si="6"/>
        <v>415.61099999999999</v>
      </c>
      <c r="E29" s="222">
        <f t="shared" si="6"/>
        <v>628.7700000000001</v>
      </c>
      <c r="F29" s="292">
        <f t="shared" si="6"/>
        <v>843.21800000000007</v>
      </c>
      <c r="G29" s="221">
        <f t="shared" si="6"/>
        <v>165.66199999999998</v>
      </c>
      <c r="H29" s="222">
        <f t="shared" si="6"/>
        <v>351.928</v>
      </c>
      <c r="I29" s="222">
        <f t="shared" si="6"/>
        <v>548.24399999999991</v>
      </c>
      <c r="J29" s="292">
        <f t="shared" si="6"/>
        <v>859.7349999999999</v>
      </c>
      <c r="K29" s="222">
        <f t="shared" si="6"/>
        <v>184.70400000000001</v>
      </c>
      <c r="L29" s="222">
        <f t="shared" si="6"/>
        <v>735.69999999999982</v>
      </c>
      <c r="M29" s="222">
        <f t="shared" si="6"/>
        <v>1423.9000000000003</v>
      </c>
      <c r="N29" s="233">
        <f t="shared" si="6"/>
        <v>2117.7999999999997</v>
      </c>
      <c r="O29" s="221">
        <f t="shared" si="6"/>
        <v>453.00000000000011</v>
      </c>
      <c r="P29" s="222">
        <f t="shared" si="6"/>
        <v>1327.9999999999995</v>
      </c>
      <c r="Q29" s="222">
        <f t="shared" si="6"/>
        <v>2173.4999999999991</v>
      </c>
      <c r="R29" s="223">
        <f t="shared" si="6"/>
        <v>2985.0999999999995</v>
      </c>
      <c r="S29" s="221">
        <f t="shared" si="6"/>
        <v>584.40000000000009</v>
      </c>
      <c r="T29" s="222">
        <f t="shared" si="6"/>
        <v>1549.4</v>
      </c>
      <c r="U29" s="222">
        <f t="shared" si="6"/>
        <v>2357.5000000000009</v>
      </c>
      <c r="V29" s="223">
        <f t="shared" si="6"/>
        <v>3151.5</v>
      </c>
      <c r="W29" s="221">
        <f t="shared" si="6"/>
        <v>780.70000000000027</v>
      </c>
      <c r="X29" s="222">
        <f t="shared" ref="X29:AD29" si="7">X5+X6</f>
        <v>1615.9</v>
      </c>
      <c r="Y29" s="222">
        <f t="shared" si="7"/>
        <v>2245.6999999999998</v>
      </c>
      <c r="Z29" s="223">
        <f t="shared" si="7"/>
        <v>3126.3</v>
      </c>
      <c r="AA29" s="519">
        <f t="shared" si="7"/>
        <v>633.10000000000014</v>
      </c>
      <c r="AB29" s="519">
        <f t="shared" si="7"/>
        <v>1396.9</v>
      </c>
      <c r="AC29" s="519">
        <v>2220.8000000000002</v>
      </c>
      <c r="AD29" s="223">
        <f t="shared" si="7"/>
        <v>3232.1</v>
      </c>
      <c r="AE29" s="519">
        <f>AE5+AE6</f>
        <v>703.2</v>
      </c>
      <c r="AF29" s="519">
        <f t="shared" ref="AF29" si="8">AF5+AF6</f>
        <v>1554.3000000000002</v>
      </c>
      <c r="AG29" s="519">
        <f t="shared" ref="AG29:AH29" si="9">AG5+AG6</f>
        <v>2406.8000000000002</v>
      </c>
      <c r="AH29" s="223">
        <f t="shared" si="9"/>
        <v>3391.8</v>
      </c>
      <c r="AJ29" s="221">
        <f>AJ5+AJ6</f>
        <v>762.2</v>
      </c>
      <c r="AK29" s="519">
        <f t="shared" ref="AK29" si="10">AK5+AK6</f>
        <v>1709.3000000000002</v>
      </c>
      <c r="AL29" s="519">
        <f t="shared" ref="AL29:AM29" si="11">AL5+AL6</f>
        <v>2659.9000000000005</v>
      </c>
      <c r="AM29" s="223">
        <f t="shared" si="11"/>
        <v>3777.8999999999996</v>
      </c>
      <c r="AO29" s="221">
        <f>AO5+AO6</f>
        <v>860.98882651999998</v>
      </c>
      <c r="AP29" s="519">
        <f t="shared" ref="AP29:AR29" si="12">AP5+AP6</f>
        <v>0</v>
      </c>
      <c r="AQ29" s="519">
        <f t="shared" si="12"/>
        <v>0</v>
      </c>
      <c r="AR29" s="223">
        <f t="shared" si="12"/>
        <v>0</v>
      </c>
    </row>
    <row r="30" spans="1:44" s="10" customFormat="1" ht="20.100000000000001" customHeight="1">
      <c r="A30" s="208" t="s">
        <v>34</v>
      </c>
      <c r="B30" s="686" t="s">
        <v>389</v>
      </c>
      <c r="C30" s="225">
        <v>-12.561</v>
      </c>
      <c r="D30" s="225">
        <v>-47.188000000000002</v>
      </c>
      <c r="E30" s="225">
        <v>-59.765999999999998</v>
      </c>
      <c r="F30" s="294">
        <v>-78.733000000000004</v>
      </c>
      <c r="G30" s="224">
        <v>-13.763</v>
      </c>
      <c r="H30" s="225">
        <v>-26.318999999999999</v>
      </c>
      <c r="I30" s="225">
        <v>-37.451999999999998</v>
      </c>
      <c r="J30" s="294">
        <v>-67.486000000000004</v>
      </c>
      <c r="K30" s="234">
        <v>-17.809000000000001</v>
      </c>
      <c r="L30" s="234">
        <v>-99.5</v>
      </c>
      <c r="M30" s="234">
        <v>-135.19999999999999</v>
      </c>
      <c r="N30" s="235">
        <v>-189.1</v>
      </c>
      <c r="O30" s="224">
        <v>-48.5</v>
      </c>
      <c r="P30" s="225">
        <v>-44.2</v>
      </c>
      <c r="Q30" s="225">
        <v>-94.2</v>
      </c>
      <c r="R30" s="226">
        <v>-136.19999999999999</v>
      </c>
      <c r="S30" s="224">
        <v>-145.69999999999999</v>
      </c>
      <c r="T30" s="225">
        <v>-186.5</v>
      </c>
      <c r="U30" s="225">
        <v>-236.1</v>
      </c>
      <c r="V30" s="226">
        <v>-292.7</v>
      </c>
      <c r="W30" s="224">
        <v>-43.5</v>
      </c>
      <c r="X30" s="225">
        <v>-112.5</v>
      </c>
      <c r="Y30" s="225">
        <v>-181.5</v>
      </c>
      <c r="Z30" s="226">
        <v>-216.2</v>
      </c>
      <c r="AA30" s="520">
        <v>-70.599999999999994</v>
      </c>
      <c r="AB30" s="520">
        <v>-191.3</v>
      </c>
      <c r="AC30" s="520">
        <v>-265.10000000000002</v>
      </c>
      <c r="AD30" s="226">
        <v>-343.2</v>
      </c>
      <c r="AE30" s="520">
        <v>-66.099999999999994</v>
      </c>
      <c r="AF30" s="520">
        <v>-163</v>
      </c>
      <c r="AG30" s="520">
        <v>-252.5</v>
      </c>
      <c r="AH30" s="226">
        <v>-328.5</v>
      </c>
      <c r="AJ30" s="224">
        <v>-66.099999999999994</v>
      </c>
      <c r="AK30" s="520">
        <v>-163</v>
      </c>
      <c r="AL30" s="520">
        <v>-252.5</v>
      </c>
      <c r="AM30" s="226">
        <v>-328.5</v>
      </c>
      <c r="AO30" s="224">
        <v>-87.1</v>
      </c>
      <c r="AP30" s="520"/>
      <c r="AQ30" s="520"/>
      <c r="AR30" s="226"/>
    </row>
    <row r="31" spans="1:44" s="10" customFormat="1" ht="20.100000000000001" customHeight="1" thickBot="1">
      <c r="A31" s="208" t="s">
        <v>35</v>
      </c>
      <c r="B31" s="686" t="s">
        <v>390</v>
      </c>
      <c r="C31" s="225">
        <v>3.843</v>
      </c>
      <c r="D31" s="225">
        <v>8.1440000000000001</v>
      </c>
      <c r="E31" s="225">
        <v>12.96</v>
      </c>
      <c r="F31" s="294">
        <v>16.882000000000001</v>
      </c>
      <c r="G31" s="224">
        <v>3.544</v>
      </c>
      <c r="H31" s="225">
        <v>6.1040000000000001</v>
      </c>
      <c r="I31" s="225">
        <v>8.5630000000000006</v>
      </c>
      <c r="J31" s="294">
        <v>10.41</v>
      </c>
      <c r="K31" s="234">
        <v>2.165</v>
      </c>
      <c r="L31" s="234">
        <v>13.4</v>
      </c>
      <c r="M31" s="234">
        <v>33.1</v>
      </c>
      <c r="N31" s="235">
        <v>45.2</v>
      </c>
      <c r="O31" s="224">
        <v>13.2</v>
      </c>
      <c r="P31" s="225">
        <v>20.5</v>
      </c>
      <c r="Q31" s="225">
        <v>30.5</v>
      </c>
      <c r="R31" s="226">
        <v>38.799999999999997</v>
      </c>
      <c r="S31" s="224">
        <v>8.1</v>
      </c>
      <c r="T31" s="225">
        <v>13.1</v>
      </c>
      <c r="U31" s="225">
        <v>19.5</v>
      </c>
      <c r="V31" s="226">
        <v>25.9</v>
      </c>
      <c r="W31" s="224">
        <v>14.5</v>
      </c>
      <c r="X31" s="225">
        <v>16</v>
      </c>
      <c r="Y31" s="225">
        <v>23.5</v>
      </c>
      <c r="Z31" s="226">
        <v>31.3</v>
      </c>
      <c r="AA31" s="520">
        <v>7.5</v>
      </c>
      <c r="AB31" s="520">
        <v>14.6</v>
      </c>
      <c r="AC31" s="520">
        <v>20.5</v>
      </c>
      <c r="AD31" s="226">
        <v>26.2</v>
      </c>
      <c r="AE31" s="520">
        <v>4.8</v>
      </c>
      <c r="AF31" s="520">
        <v>11.8</v>
      </c>
      <c r="AG31" s="520">
        <v>18.3</v>
      </c>
      <c r="AH31" s="226">
        <v>24</v>
      </c>
      <c r="AJ31" s="224">
        <v>4.8</v>
      </c>
      <c r="AK31" s="520">
        <v>11.8</v>
      </c>
      <c r="AL31" s="520">
        <v>18.3</v>
      </c>
      <c r="AM31" s="226">
        <v>24</v>
      </c>
      <c r="AO31" s="224">
        <v>4.9000000000000004</v>
      </c>
      <c r="AP31" s="520"/>
      <c r="AQ31" s="520"/>
      <c r="AR31" s="226"/>
    </row>
    <row r="32" spans="1:44" s="10" customFormat="1" ht="24.95" customHeight="1" thickBot="1">
      <c r="A32" s="13" t="s">
        <v>63</v>
      </c>
      <c r="B32" s="675" t="s">
        <v>391</v>
      </c>
      <c r="C32" s="228">
        <f t="shared" ref="C32:R32" si="13">SUM(C29:C31)</f>
        <v>223.97899999999998</v>
      </c>
      <c r="D32" s="228">
        <f t="shared" si="13"/>
        <v>376.56700000000001</v>
      </c>
      <c r="E32" s="228">
        <f t="shared" si="13"/>
        <v>581.96400000000017</v>
      </c>
      <c r="F32" s="217">
        <f t="shared" si="13"/>
        <v>781.36700000000008</v>
      </c>
      <c r="G32" s="227">
        <f t="shared" si="13"/>
        <v>155.44299999999998</v>
      </c>
      <c r="H32" s="228">
        <f t="shared" si="13"/>
        <v>331.71299999999997</v>
      </c>
      <c r="I32" s="228">
        <f t="shared" si="13"/>
        <v>519.3549999999999</v>
      </c>
      <c r="J32" s="217">
        <f t="shared" si="13"/>
        <v>802.65899999999988</v>
      </c>
      <c r="K32" s="228">
        <f t="shared" si="13"/>
        <v>169.06</v>
      </c>
      <c r="L32" s="228">
        <f t="shared" si="13"/>
        <v>649.5999999999998</v>
      </c>
      <c r="M32" s="228">
        <f t="shared" si="13"/>
        <v>1321.8000000000002</v>
      </c>
      <c r="N32" s="236">
        <f t="shared" si="13"/>
        <v>1973.8999999999999</v>
      </c>
      <c r="O32" s="227">
        <f t="shared" si="13"/>
        <v>417.7000000000001</v>
      </c>
      <c r="P32" s="228">
        <f t="shared" si="13"/>
        <v>1304.2999999999995</v>
      </c>
      <c r="Q32" s="228">
        <f t="shared" si="13"/>
        <v>2109.7999999999993</v>
      </c>
      <c r="R32" s="229">
        <f t="shared" si="13"/>
        <v>2887.7</v>
      </c>
      <c r="S32" s="227">
        <f t="shared" ref="S32" si="14">SUM(S29:S31)</f>
        <v>446.80000000000013</v>
      </c>
      <c r="T32" s="228">
        <f t="shared" ref="T32:U32" si="15">SUM(T29:T31)</f>
        <v>1376</v>
      </c>
      <c r="U32" s="228">
        <f t="shared" si="15"/>
        <v>2140.900000000001</v>
      </c>
      <c r="V32" s="229">
        <f t="shared" ref="V32:Z32" si="16">SUM(V29:V31)</f>
        <v>2884.7000000000003</v>
      </c>
      <c r="W32" s="227">
        <f t="shared" si="16"/>
        <v>751.70000000000027</v>
      </c>
      <c r="X32" s="228">
        <f t="shared" si="16"/>
        <v>1519.4</v>
      </c>
      <c r="Y32" s="228">
        <f t="shared" si="16"/>
        <v>2087.6999999999998</v>
      </c>
      <c r="Z32" s="229">
        <f t="shared" si="16"/>
        <v>2941.4000000000005</v>
      </c>
      <c r="AA32" s="227">
        <f t="shared" ref="AA32:AD32" si="17">SUM(AA29:AA31)</f>
        <v>570.00000000000011</v>
      </c>
      <c r="AB32" s="521">
        <f>SUM(AB29:AB31)</f>
        <v>1220.2</v>
      </c>
      <c r="AC32" s="521">
        <f>SUM(AC29:AC31)</f>
        <v>1976.2000000000003</v>
      </c>
      <c r="AD32" s="229">
        <f t="shared" si="17"/>
        <v>2915.1</v>
      </c>
      <c r="AE32" s="227">
        <f t="shared" ref="AE32:AH32" si="18">SUM(AE29:AE31)</f>
        <v>641.9</v>
      </c>
      <c r="AF32" s="521">
        <f t="shared" si="18"/>
        <v>1403.1000000000001</v>
      </c>
      <c r="AG32" s="521">
        <f t="shared" si="18"/>
        <v>2172.6000000000004</v>
      </c>
      <c r="AH32" s="229">
        <f t="shared" si="18"/>
        <v>3087.3</v>
      </c>
      <c r="AJ32" s="227">
        <f t="shared" ref="AJ32:AM32" si="19">SUM(AJ29:AJ31)</f>
        <v>700.9</v>
      </c>
      <c r="AK32" s="521">
        <f t="shared" si="19"/>
        <v>1558.1000000000001</v>
      </c>
      <c r="AL32" s="521">
        <f t="shared" si="19"/>
        <v>2425.7000000000007</v>
      </c>
      <c r="AM32" s="229">
        <f t="shared" si="19"/>
        <v>3473.3999999999996</v>
      </c>
      <c r="AO32" s="227">
        <f t="shared" ref="AO32:AR32" si="20">SUM(AO29:AO31)</f>
        <v>778.78882651999993</v>
      </c>
      <c r="AP32" s="521">
        <f t="shared" si="20"/>
        <v>0</v>
      </c>
      <c r="AQ32" s="521">
        <f t="shared" si="20"/>
        <v>0</v>
      </c>
      <c r="AR32" s="229">
        <f t="shared" si="20"/>
        <v>0</v>
      </c>
    </row>
    <row r="33" spans="1:44" s="10" customFormat="1" ht="20.100000000000001" customHeight="1">
      <c r="A33" s="208" t="s">
        <v>38</v>
      </c>
      <c r="B33" s="686" t="s">
        <v>392</v>
      </c>
      <c r="C33" s="225">
        <v>-13.759</v>
      </c>
      <c r="D33" s="225">
        <v>-28.18</v>
      </c>
      <c r="E33" s="225">
        <v>-40.478000000000002</v>
      </c>
      <c r="F33" s="294">
        <v>-54.936999999999998</v>
      </c>
      <c r="G33" s="224">
        <v>-21.702999999999999</v>
      </c>
      <c r="H33" s="225">
        <v>-40.633000000000003</v>
      </c>
      <c r="I33" s="225">
        <v>-53.000999999999998</v>
      </c>
      <c r="J33" s="294">
        <v>-60.844999999999999</v>
      </c>
      <c r="K33" s="234">
        <v>-19.433</v>
      </c>
      <c r="L33" s="234">
        <v>-93</v>
      </c>
      <c r="M33" s="234">
        <v>-180</v>
      </c>
      <c r="N33" s="235">
        <v>-263.60000000000002</v>
      </c>
      <c r="O33" s="224">
        <v>-137.6</v>
      </c>
      <c r="P33" s="225">
        <v>-187</v>
      </c>
      <c r="Q33" s="225">
        <v>-323.2</v>
      </c>
      <c r="R33" s="226">
        <v>-417.8</v>
      </c>
      <c r="S33" s="224">
        <v>-98.4</v>
      </c>
      <c r="T33" s="225">
        <v>-179.5</v>
      </c>
      <c r="U33" s="225">
        <v>-301.2</v>
      </c>
      <c r="V33" s="226">
        <v>-436.2</v>
      </c>
      <c r="W33" s="224">
        <v>-138.9</v>
      </c>
      <c r="X33" s="225">
        <v>-268.8</v>
      </c>
      <c r="Y33" s="225">
        <v>-418.9</v>
      </c>
      <c r="Z33" s="226">
        <v>-524.79999999999995</v>
      </c>
      <c r="AA33" s="520">
        <v>-131.6</v>
      </c>
      <c r="AB33" s="520">
        <v>-266.7</v>
      </c>
      <c r="AC33" s="520">
        <v>-465</v>
      </c>
      <c r="AD33" s="226">
        <v>-624.29999999999995</v>
      </c>
      <c r="AE33" s="520">
        <v>-251.4</v>
      </c>
      <c r="AF33" s="520">
        <v>-433.6</v>
      </c>
      <c r="AG33" s="520">
        <v>-651.9</v>
      </c>
      <c r="AH33" s="226">
        <v>-852.6</v>
      </c>
      <c r="AJ33" s="224">
        <v>-251.4</v>
      </c>
      <c r="AK33" s="520">
        <v>-433.6</v>
      </c>
      <c r="AL33" s="520">
        <v>-651.9</v>
      </c>
      <c r="AM33" s="226">
        <v>-852.6</v>
      </c>
      <c r="AO33" s="224">
        <v>-255.9</v>
      </c>
      <c r="AP33" s="520"/>
      <c r="AQ33" s="520"/>
      <c r="AR33" s="226"/>
    </row>
    <row r="34" spans="1:44" s="10" customFormat="1" ht="20.100000000000001" customHeight="1">
      <c r="A34" s="208" t="s">
        <v>37</v>
      </c>
      <c r="B34" s="686" t="s">
        <v>393</v>
      </c>
      <c r="C34" s="225">
        <v>-7.0449999999999999</v>
      </c>
      <c r="D34" s="225">
        <v>-11.33</v>
      </c>
      <c r="E34" s="225">
        <v>-23.225000000000001</v>
      </c>
      <c r="F34" s="294">
        <v>-36.24</v>
      </c>
      <c r="G34" s="224">
        <v>-13.377000000000001</v>
      </c>
      <c r="H34" s="225">
        <v>-20.378</v>
      </c>
      <c r="I34" s="225">
        <v>-45.453000000000003</v>
      </c>
      <c r="J34" s="294">
        <v>-62.041000000000004</v>
      </c>
      <c r="K34" s="234">
        <v>-19.987000000000002</v>
      </c>
      <c r="L34" s="234">
        <v>-46.6</v>
      </c>
      <c r="M34" s="234">
        <v>-57.4</v>
      </c>
      <c r="N34" s="235">
        <v>-71.8</v>
      </c>
      <c r="O34" s="224">
        <v>-19.100000000000001</v>
      </c>
      <c r="P34" s="225">
        <v>-90.7</v>
      </c>
      <c r="Q34" s="225">
        <v>-111.1</v>
      </c>
      <c r="R34" s="226">
        <v>-165.3</v>
      </c>
      <c r="S34" s="224">
        <v>-20.3</v>
      </c>
      <c r="T34" s="225">
        <v>-61.3</v>
      </c>
      <c r="U34" s="225">
        <v>-94.6</v>
      </c>
      <c r="V34" s="226">
        <v>-154.19999999999999</v>
      </c>
      <c r="W34" s="224">
        <v>-33.200000000000003</v>
      </c>
      <c r="X34" s="225">
        <v>-114.2</v>
      </c>
      <c r="Y34" s="225">
        <v>-137.30000000000001</v>
      </c>
      <c r="Z34" s="226">
        <v>-214.3</v>
      </c>
      <c r="AA34" s="520">
        <v>-42.8</v>
      </c>
      <c r="AB34" s="520">
        <v>-83.9</v>
      </c>
      <c r="AC34" s="520">
        <v>-168.4</v>
      </c>
      <c r="AD34" s="226">
        <v>-304.10000000000002</v>
      </c>
      <c r="AE34" s="520">
        <v>-108.5</v>
      </c>
      <c r="AF34" s="520">
        <v>-202.7</v>
      </c>
      <c r="AG34" s="520">
        <v>-302.7</v>
      </c>
      <c r="AH34" s="226">
        <v>-379</v>
      </c>
      <c r="AJ34" s="224">
        <v>-108.5</v>
      </c>
      <c r="AK34" s="520">
        <v>-202.7</v>
      </c>
      <c r="AL34" s="520">
        <v>-302.7</v>
      </c>
      <c r="AM34" s="226">
        <v>-379</v>
      </c>
      <c r="AO34" s="224">
        <v>-51.5</v>
      </c>
      <c r="AP34" s="520"/>
      <c r="AQ34" s="520"/>
      <c r="AR34" s="226"/>
    </row>
    <row r="35" spans="1:44" s="362" customFormat="1" ht="20.100000000000001" customHeight="1">
      <c r="A35" s="393" t="s">
        <v>167</v>
      </c>
      <c r="B35" s="688" t="s">
        <v>394</v>
      </c>
      <c r="C35" s="244"/>
      <c r="D35" s="244"/>
      <c r="E35" s="244"/>
      <c r="F35" s="394"/>
      <c r="G35" s="395"/>
      <c r="H35" s="244"/>
      <c r="I35" s="244"/>
      <c r="J35" s="394"/>
      <c r="K35" s="396"/>
      <c r="L35" s="396"/>
      <c r="M35" s="396"/>
      <c r="N35" s="235"/>
      <c r="O35" s="395"/>
      <c r="P35" s="244"/>
      <c r="Q35" s="244"/>
      <c r="R35" s="226"/>
      <c r="S35" s="395"/>
      <c r="T35" s="244"/>
      <c r="U35" s="244"/>
      <c r="V35" s="226">
        <v>0</v>
      </c>
      <c r="W35" s="395"/>
      <c r="X35" s="244"/>
      <c r="Y35" s="244"/>
      <c r="Z35" s="226">
        <v>-9.3000000000000007</v>
      </c>
      <c r="AA35" s="520">
        <v>0</v>
      </c>
      <c r="AB35" s="524">
        <v>0</v>
      </c>
      <c r="AC35" s="524">
        <v>0</v>
      </c>
      <c r="AD35" s="226">
        <v>-9.1999999999999993</v>
      </c>
      <c r="AE35" s="520">
        <v>0</v>
      </c>
      <c r="AF35" s="524"/>
      <c r="AG35" s="524">
        <v>0</v>
      </c>
      <c r="AH35" s="226">
        <v>0</v>
      </c>
      <c r="AJ35" s="224">
        <v>0</v>
      </c>
      <c r="AK35" s="524">
        <v>0</v>
      </c>
      <c r="AL35" s="524">
        <v>0</v>
      </c>
      <c r="AM35" s="226">
        <v>0</v>
      </c>
      <c r="AO35" s="224">
        <v>0</v>
      </c>
      <c r="AP35" s="524"/>
      <c r="AQ35" s="524"/>
      <c r="AR35" s="226"/>
    </row>
    <row r="36" spans="1:44" s="362" customFormat="1" ht="20.100000000000001" customHeight="1">
      <c r="A36" s="393" t="s">
        <v>90</v>
      </c>
      <c r="B36" s="686" t="s">
        <v>395</v>
      </c>
      <c r="C36" s="397">
        <v>0</v>
      </c>
      <c r="D36" s="397">
        <v>0</v>
      </c>
      <c r="E36" s="397">
        <v>0</v>
      </c>
      <c r="F36" s="398">
        <v>0</v>
      </c>
      <c r="G36" s="399">
        <v>0</v>
      </c>
      <c r="H36" s="397">
        <v>0</v>
      </c>
      <c r="I36" s="397">
        <v>0</v>
      </c>
      <c r="J36" s="398">
        <v>0</v>
      </c>
      <c r="K36" s="399">
        <v>0</v>
      </c>
      <c r="L36" s="244">
        <v>0</v>
      </c>
      <c r="M36" s="244">
        <v>-482.3</v>
      </c>
      <c r="N36" s="235">
        <v>-482.3</v>
      </c>
      <c r="O36" s="395">
        <v>0</v>
      </c>
      <c r="P36" s="244">
        <v>0</v>
      </c>
      <c r="Q36" s="244">
        <v>-118.7</v>
      </c>
      <c r="R36" s="226">
        <v>-118.7</v>
      </c>
      <c r="S36" s="395">
        <v>-147.69999999999999</v>
      </c>
      <c r="T36" s="244">
        <v>-147.69999999999999</v>
      </c>
      <c r="U36" s="244">
        <v>-268.5</v>
      </c>
      <c r="V36" s="226">
        <v>-268.5</v>
      </c>
      <c r="W36" s="395">
        <v>0</v>
      </c>
      <c r="X36" s="244">
        <v>0</v>
      </c>
      <c r="Y36" s="244">
        <v>-120.7</v>
      </c>
      <c r="Z36" s="226">
        <v>-120.7</v>
      </c>
      <c r="AA36" s="520">
        <v>0</v>
      </c>
      <c r="AB36" s="524">
        <v>0</v>
      </c>
      <c r="AC36" s="524">
        <v>-119.6</v>
      </c>
      <c r="AD36" s="226">
        <v>-119.6</v>
      </c>
      <c r="AE36" s="520">
        <v>0</v>
      </c>
      <c r="AF36" s="524"/>
      <c r="AG36" s="524">
        <v>-122.4</v>
      </c>
      <c r="AH36" s="226">
        <v>-122.4</v>
      </c>
      <c r="AJ36" s="395">
        <v>0</v>
      </c>
      <c r="AK36" s="524">
        <v>0</v>
      </c>
      <c r="AL36" s="524">
        <v>-122.4</v>
      </c>
      <c r="AM36" s="226">
        <v>-122.4</v>
      </c>
      <c r="AO36" s="395">
        <v>0</v>
      </c>
      <c r="AP36" s="524"/>
      <c r="AQ36" s="524"/>
      <c r="AR36" s="226"/>
    </row>
    <row r="37" spans="1:44" s="362" customFormat="1" ht="20.100000000000001" customHeight="1">
      <c r="A37" s="393" t="s">
        <v>198</v>
      </c>
      <c r="B37" s="688" t="s">
        <v>396</v>
      </c>
      <c r="C37" s="397"/>
      <c r="D37" s="397"/>
      <c r="E37" s="397"/>
      <c r="F37" s="398"/>
      <c r="G37" s="397"/>
      <c r="H37" s="397"/>
      <c r="I37" s="397"/>
      <c r="J37" s="398"/>
      <c r="K37" s="397"/>
      <c r="L37" s="397"/>
      <c r="M37" s="397"/>
      <c r="N37" s="235"/>
      <c r="O37" s="224"/>
      <c r="P37" s="397"/>
      <c r="Q37" s="397"/>
      <c r="R37" s="226"/>
      <c r="S37" s="397">
        <v>0</v>
      </c>
      <c r="T37" s="397">
        <v>0</v>
      </c>
      <c r="U37" s="397">
        <v>0</v>
      </c>
      <c r="V37" s="226">
        <v>0</v>
      </c>
      <c r="W37" s="395">
        <v>0</v>
      </c>
      <c r="X37" s="244">
        <v>0</v>
      </c>
      <c r="Y37" s="244">
        <v>0</v>
      </c>
      <c r="Z37" s="226">
        <v>-662.5</v>
      </c>
      <c r="AA37" s="520">
        <v>-11.3</v>
      </c>
      <c r="AB37" s="524">
        <v>-15.7</v>
      </c>
      <c r="AC37" s="524">
        <v>-15.7</v>
      </c>
      <c r="AD37" s="226">
        <v>-16.100000000000001</v>
      </c>
      <c r="AE37" s="520">
        <v>0</v>
      </c>
      <c r="AF37" s="524">
        <v>-14.7</v>
      </c>
      <c r="AG37" s="524">
        <v>-14.7</v>
      </c>
      <c r="AH37" s="226">
        <v>-1232.5</v>
      </c>
      <c r="AJ37" s="224">
        <v>0</v>
      </c>
      <c r="AK37" s="524">
        <v>-14.7</v>
      </c>
      <c r="AL37" s="524">
        <v>-14.7</v>
      </c>
      <c r="AM37" s="226">
        <v>-1232.5</v>
      </c>
      <c r="AO37" s="224">
        <v>-7.4</v>
      </c>
      <c r="AP37" s="524"/>
      <c r="AQ37" s="524"/>
      <c r="AR37" s="226"/>
    </row>
    <row r="38" spans="1:44" s="10" customFormat="1" ht="20.100000000000001" customHeight="1">
      <c r="A38" s="208" t="s">
        <v>66</v>
      </c>
      <c r="B38" s="686" t="s">
        <v>397</v>
      </c>
      <c r="C38" s="225">
        <v>-2.3290000000000002</v>
      </c>
      <c r="D38" s="225">
        <v>-45.099000000000004</v>
      </c>
      <c r="E38" s="225">
        <v>-45.329000000000001</v>
      </c>
      <c r="F38" s="294">
        <v>-45.710999999999999</v>
      </c>
      <c r="G38" s="224">
        <v>-0.153</v>
      </c>
      <c r="H38" s="225">
        <v>-0.26800000000000002</v>
      </c>
      <c r="I38" s="225">
        <v>-64.186999999999998</v>
      </c>
      <c r="J38" s="294">
        <v>-64.266000000000005</v>
      </c>
      <c r="K38" s="242">
        <v>0</v>
      </c>
      <c r="L38" s="234">
        <v>1800.4</v>
      </c>
      <c r="M38" s="234">
        <v>1800.4</v>
      </c>
      <c r="N38" s="235">
        <v>1800.4</v>
      </c>
      <c r="O38" s="224">
        <v>-4.2</v>
      </c>
      <c r="P38" s="225">
        <v>-29.5</v>
      </c>
      <c r="Q38" s="225">
        <v>-29.5</v>
      </c>
      <c r="R38" s="226">
        <v>-29.5</v>
      </c>
      <c r="S38" s="224">
        <v>262.2</v>
      </c>
      <c r="T38" s="225">
        <v>-145.30000000000001</v>
      </c>
      <c r="U38" s="225">
        <v>-144.4</v>
      </c>
      <c r="V38" s="226">
        <v>-144.4</v>
      </c>
      <c r="W38" s="224">
        <v>0</v>
      </c>
      <c r="X38" s="225">
        <v>0</v>
      </c>
      <c r="Y38" s="225">
        <v>1.6</v>
      </c>
      <c r="Z38" s="226">
        <v>-66.8</v>
      </c>
      <c r="AA38" s="520">
        <v>-16.7</v>
      </c>
      <c r="AB38" s="520">
        <v>-276.8</v>
      </c>
      <c r="AC38" s="520">
        <v>-453.7</v>
      </c>
      <c r="AD38" s="226">
        <v>-792.4</v>
      </c>
      <c r="AE38" s="520">
        <v>0</v>
      </c>
      <c r="AF38" s="520">
        <v>-63.8</v>
      </c>
      <c r="AG38" s="520">
        <v>-74.599999999999994</v>
      </c>
      <c r="AH38" s="226">
        <v>-108.5</v>
      </c>
      <c r="AJ38" s="395">
        <v>0</v>
      </c>
      <c r="AK38" s="520">
        <v>-63.8</v>
      </c>
      <c r="AL38" s="520">
        <v>-74.599999999999994</v>
      </c>
      <c r="AM38" s="226">
        <v>-108.5</v>
      </c>
      <c r="AO38" s="395">
        <v>-48.8</v>
      </c>
      <c r="AP38" s="520"/>
      <c r="AQ38" s="520"/>
      <c r="AR38" s="226"/>
    </row>
    <row r="39" spans="1:44" s="562" customFormat="1" ht="20.100000000000001" customHeight="1">
      <c r="A39" s="601" t="s">
        <v>216</v>
      </c>
      <c r="B39" s="687" t="s">
        <v>398</v>
      </c>
      <c r="C39" s="581"/>
      <c r="D39" s="581"/>
      <c r="E39" s="581"/>
      <c r="F39" s="603"/>
      <c r="G39" s="604"/>
      <c r="H39" s="581"/>
      <c r="I39" s="581"/>
      <c r="J39" s="603"/>
      <c r="K39" s="605"/>
      <c r="L39" s="606"/>
      <c r="M39" s="606"/>
      <c r="N39" s="607"/>
      <c r="O39" s="604"/>
      <c r="P39" s="581"/>
      <c r="Q39" s="581"/>
      <c r="R39" s="608"/>
      <c r="S39" s="604"/>
      <c r="T39" s="581"/>
      <c r="U39" s="581"/>
      <c r="V39" s="608"/>
      <c r="W39" s="604"/>
      <c r="X39" s="581"/>
      <c r="Y39" s="581"/>
      <c r="Z39" s="608"/>
      <c r="AA39" s="581"/>
      <c r="AB39" s="581"/>
      <c r="AC39" s="581"/>
      <c r="AD39" s="608"/>
      <c r="AE39" s="581"/>
      <c r="AF39" s="581">
        <v>-16.3</v>
      </c>
      <c r="AG39" s="581">
        <v>-16.3</v>
      </c>
      <c r="AH39" s="608">
        <v>-16.3</v>
      </c>
      <c r="AJ39" s="609"/>
      <c r="AK39" s="581">
        <v>-16.3</v>
      </c>
      <c r="AL39" s="581">
        <v>-16.3</v>
      </c>
      <c r="AM39" s="608">
        <v>-16.3</v>
      </c>
      <c r="AO39" s="609">
        <v>0</v>
      </c>
      <c r="AP39" s="581"/>
      <c r="AQ39" s="581"/>
      <c r="AR39" s="608"/>
    </row>
    <row r="40" spans="1:44" s="10" customFormat="1" ht="20.100000000000001" customHeight="1">
      <c r="A40" s="208" t="s">
        <v>165</v>
      </c>
      <c r="B40" s="686" t="s">
        <v>399</v>
      </c>
      <c r="C40" s="239">
        <v>0</v>
      </c>
      <c r="D40" s="239">
        <v>0</v>
      </c>
      <c r="E40" s="239">
        <v>0</v>
      </c>
      <c r="F40" s="240">
        <v>0</v>
      </c>
      <c r="G40" s="241">
        <v>0</v>
      </c>
      <c r="H40" s="239">
        <v>0</v>
      </c>
      <c r="I40" s="225">
        <v>48.219000000000001</v>
      </c>
      <c r="J40" s="294">
        <v>48.736000000000004</v>
      </c>
      <c r="K40" s="242">
        <v>0</v>
      </c>
      <c r="L40" s="234">
        <v>0</v>
      </c>
      <c r="M40" s="234">
        <v>0</v>
      </c>
      <c r="N40" s="235">
        <v>0</v>
      </c>
      <c r="O40" s="224">
        <v>0</v>
      </c>
      <c r="P40" s="225">
        <v>0</v>
      </c>
      <c r="Q40" s="225">
        <v>0</v>
      </c>
      <c r="R40" s="226">
        <v>0</v>
      </c>
      <c r="S40" s="224">
        <v>0</v>
      </c>
      <c r="T40" s="244">
        <v>0.2</v>
      </c>
      <c r="U40" s="244">
        <v>0.2</v>
      </c>
      <c r="V40" s="226">
        <v>0</v>
      </c>
      <c r="W40" s="224">
        <v>0</v>
      </c>
      <c r="X40" s="244">
        <v>0</v>
      </c>
      <c r="Y40" s="244">
        <v>0</v>
      </c>
      <c r="Z40" s="226">
        <v>0</v>
      </c>
      <c r="AA40" s="520">
        <v>0</v>
      </c>
      <c r="AB40" s="524">
        <v>0</v>
      </c>
      <c r="AC40" s="524">
        <v>0</v>
      </c>
      <c r="AD40" s="226">
        <v>0</v>
      </c>
      <c r="AE40" s="520">
        <v>0</v>
      </c>
      <c r="AF40" s="524">
        <v>0</v>
      </c>
      <c r="AG40" s="524"/>
      <c r="AH40" s="226">
        <v>0</v>
      </c>
      <c r="AJ40" s="224">
        <v>0</v>
      </c>
      <c r="AK40" s="524">
        <v>0</v>
      </c>
      <c r="AL40" s="524">
        <v>0</v>
      </c>
      <c r="AM40" s="226">
        <v>0</v>
      </c>
      <c r="AO40" s="224">
        <v>0</v>
      </c>
      <c r="AP40" s="524"/>
      <c r="AQ40" s="524"/>
      <c r="AR40" s="226"/>
    </row>
    <row r="41" spans="1:44" s="10" customFormat="1" ht="20.100000000000001" customHeight="1">
      <c r="A41" s="208" t="s">
        <v>46</v>
      </c>
      <c r="B41" s="686" t="s">
        <v>400</v>
      </c>
      <c r="C41" s="225">
        <v>0.09</v>
      </c>
      <c r="D41" s="225">
        <v>0.121</v>
      </c>
      <c r="E41" s="225">
        <v>0.69000000000000006</v>
      </c>
      <c r="F41" s="294">
        <v>0.751</v>
      </c>
      <c r="G41" s="224">
        <v>0.35000000000000003</v>
      </c>
      <c r="H41" s="225">
        <v>0.41000000000000003</v>
      </c>
      <c r="I41" s="225">
        <v>1.756</v>
      </c>
      <c r="J41" s="294">
        <v>2.0640000000000001</v>
      </c>
      <c r="K41" s="242">
        <v>0.33700000000000002</v>
      </c>
      <c r="L41" s="234">
        <v>1.6</v>
      </c>
      <c r="M41" s="234">
        <v>4</v>
      </c>
      <c r="N41" s="235">
        <v>4.0999999999999996</v>
      </c>
      <c r="O41" s="224">
        <v>0.2</v>
      </c>
      <c r="P41" s="225">
        <v>13.3</v>
      </c>
      <c r="Q41" s="225">
        <v>15.1</v>
      </c>
      <c r="R41" s="226">
        <v>16.899999999999999</v>
      </c>
      <c r="S41" s="224">
        <v>3.5</v>
      </c>
      <c r="T41" s="225">
        <v>5</v>
      </c>
      <c r="U41" s="225">
        <v>6.3</v>
      </c>
      <c r="V41" s="226">
        <v>9.5</v>
      </c>
      <c r="W41" s="224">
        <v>12.8</v>
      </c>
      <c r="X41" s="225">
        <v>16</v>
      </c>
      <c r="Y41" s="225">
        <v>15.8</v>
      </c>
      <c r="Z41" s="226">
        <v>19.3</v>
      </c>
      <c r="AA41" s="520">
        <v>3.4</v>
      </c>
      <c r="AB41" s="520">
        <v>10.6</v>
      </c>
      <c r="AC41" s="520">
        <v>11.6</v>
      </c>
      <c r="AD41" s="226">
        <v>11.6</v>
      </c>
      <c r="AE41" s="520">
        <v>2.5</v>
      </c>
      <c r="AF41" s="520">
        <v>4.2</v>
      </c>
      <c r="AG41" s="520">
        <v>4.8</v>
      </c>
      <c r="AH41" s="226">
        <v>6.8</v>
      </c>
      <c r="AJ41" s="224">
        <v>2.5</v>
      </c>
      <c r="AK41" s="520">
        <v>4.2</v>
      </c>
      <c r="AL41" s="520">
        <v>4.8</v>
      </c>
      <c r="AM41" s="226">
        <v>6.8</v>
      </c>
      <c r="AO41" s="224">
        <v>1.7</v>
      </c>
      <c r="AP41" s="520"/>
      <c r="AQ41" s="520"/>
      <c r="AR41" s="226"/>
    </row>
    <row r="42" spans="1:44" s="10" customFormat="1" ht="20.100000000000001" customHeight="1">
      <c r="A42" s="393" t="s">
        <v>204</v>
      </c>
      <c r="B42" s="688" t="s">
        <v>401</v>
      </c>
      <c r="C42" s="225"/>
      <c r="D42" s="225"/>
      <c r="E42" s="225"/>
      <c r="F42" s="294"/>
      <c r="G42" s="224"/>
      <c r="H42" s="225"/>
      <c r="I42" s="225"/>
      <c r="J42" s="294"/>
      <c r="K42" s="242"/>
      <c r="L42" s="234"/>
      <c r="M42" s="234"/>
      <c r="N42" s="235"/>
      <c r="O42" s="224"/>
      <c r="P42" s="225"/>
      <c r="Q42" s="225"/>
      <c r="R42" s="226"/>
      <c r="S42" s="224"/>
      <c r="T42" s="225"/>
      <c r="U42" s="225"/>
      <c r="V42" s="226"/>
      <c r="W42" s="224"/>
      <c r="X42" s="225"/>
      <c r="Y42" s="225"/>
      <c r="Z42" s="226"/>
      <c r="AA42" s="520">
        <v>-45</v>
      </c>
      <c r="AB42" s="520">
        <f>-50+50.3</f>
        <v>0.29999999999999716</v>
      </c>
      <c r="AC42" s="520">
        <f>-95+95.4</f>
        <v>0.40000000000000568</v>
      </c>
      <c r="AD42" s="226">
        <f>-130+130.5</f>
        <v>0.5</v>
      </c>
      <c r="AE42" s="520">
        <v>0.1</v>
      </c>
      <c r="AF42" s="520">
        <v>0.3</v>
      </c>
      <c r="AG42" s="520">
        <f>100.5-100</f>
        <v>0.5</v>
      </c>
      <c r="AH42" s="226">
        <v>0.69999999999998863</v>
      </c>
      <c r="AJ42" s="224">
        <v>0.1</v>
      </c>
      <c r="AK42" s="520">
        <v>0.3</v>
      </c>
      <c r="AL42" s="520">
        <v>0.5</v>
      </c>
      <c r="AM42" s="226">
        <v>0.69999999999998863</v>
      </c>
      <c r="AO42" s="224">
        <v>0</v>
      </c>
      <c r="AP42" s="520"/>
      <c r="AQ42" s="520"/>
      <c r="AR42" s="226"/>
    </row>
    <row r="43" spans="1:44" s="10" customFormat="1" ht="20.100000000000001" customHeight="1">
      <c r="A43" s="208" t="s">
        <v>87</v>
      </c>
      <c r="B43" s="686" t="s">
        <v>328</v>
      </c>
      <c r="C43" s="239">
        <v>0</v>
      </c>
      <c r="D43" s="239">
        <v>0</v>
      </c>
      <c r="E43" s="239">
        <v>0</v>
      </c>
      <c r="F43" s="240">
        <v>0</v>
      </c>
      <c r="G43" s="241">
        <v>0</v>
      </c>
      <c r="H43" s="239">
        <v>0</v>
      </c>
      <c r="I43" s="239">
        <v>0</v>
      </c>
      <c r="J43" s="240">
        <v>0</v>
      </c>
      <c r="K43" s="242">
        <v>0</v>
      </c>
      <c r="L43" s="234">
        <v>-270</v>
      </c>
      <c r="M43" s="234">
        <v>-30</v>
      </c>
      <c r="N43" s="235">
        <v>0</v>
      </c>
      <c r="O43" s="224">
        <v>-42.7</v>
      </c>
      <c r="P43" s="225">
        <v>-42.7</v>
      </c>
      <c r="Q43" s="225">
        <v>0</v>
      </c>
      <c r="R43" s="226">
        <v>0</v>
      </c>
      <c r="S43" s="224">
        <v>-12.4</v>
      </c>
      <c r="T43" s="225">
        <v>0</v>
      </c>
      <c r="U43" s="225">
        <v>0</v>
      </c>
      <c r="V43" s="226">
        <v>0</v>
      </c>
      <c r="W43" s="224">
        <v>0</v>
      </c>
      <c r="X43" s="225">
        <v>0</v>
      </c>
      <c r="Y43" s="225">
        <v>0</v>
      </c>
      <c r="Z43" s="226">
        <v>0</v>
      </c>
      <c r="AA43" s="520">
        <v>0</v>
      </c>
      <c r="AB43" s="520">
        <v>0</v>
      </c>
      <c r="AC43" s="520">
        <v>0</v>
      </c>
      <c r="AD43" s="226">
        <v>0</v>
      </c>
      <c r="AE43" s="520">
        <v>0</v>
      </c>
      <c r="AF43" s="520">
        <v>0</v>
      </c>
      <c r="AG43" s="520">
        <v>0</v>
      </c>
      <c r="AH43" s="226">
        <v>0</v>
      </c>
      <c r="AJ43" s="224">
        <v>0</v>
      </c>
      <c r="AK43" s="520">
        <v>0</v>
      </c>
      <c r="AL43" s="520">
        <v>0</v>
      </c>
      <c r="AM43" s="226">
        <v>0</v>
      </c>
      <c r="AO43" s="224">
        <v>0</v>
      </c>
      <c r="AP43" s="520"/>
      <c r="AQ43" s="520"/>
      <c r="AR43" s="226"/>
    </row>
    <row r="44" spans="1:44" s="10" customFormat="1" ht="20.100000000000001" customHeight="1">
      <c r="A44" s="208" t="s">
        <v>45</v>
      </c>
      <c r="B44" s="686" t="s">
        <v>402</v>
      </c>
      <c r="C44" s="225">
        <v>-1.1000000000000001</v>
      </c>
      <c r="D44" s="225">
        <v>-1.1000000000000001</v>
      </c>
      <c r="E44" s="225">
        <v>-1.1000000000000001</v>
      </c>
      <c r="F44" s="294">
        <v>-1.1000000000000001</v>
      </c>
      <c r="G44" s="241">
        <v>0</v>
      </c>
      <c r="H44" s="239">
        <v>0</v>
      </c>
      <c r="I44" s="239">
        <v>0</v>
      </c>
      <c r="J44" s="240">
        <v>0</v>
      </c>
      <c r="K44" s="242">
        <v>0</v>
      </c>
      <c r="L44" s="234">
        <v>-5.8</v>
      </c>
      <c r="M44" s="234">
        <v>-20.399999999999999</v>
      </c>
      <c r="N44" s="235">
        <v>-23.1</v>
      </c>
      <c r="O44" s="224">
        <v>-6</v>
      </c>
      <c r="P44" s="225">
        <v>-8.9</v>
      </c>
      <c r="Q44" s="225">
        <v>-12.1</v>
      </c>
      <c r="R44" s="226">
        <v>-16.100000000000001</v>
      </c>
      <c r="S44" s="224">
        <v>-6.8</v>
      </c>
      <c r="T44" s="225">
        <v>-9.5</v>
      </c>
      <c r="U44" s="225">
        <v>-10.5</v>
      </c>
      <c r="V44" s="226">
        <v>-11.6</v>
      </c>
      <c r="W44" s="224">
        <v>0</v>
      </c>
      <c r="X44" s="225">
        <v>0</v>
      </c>
      <c r="Y44" s="225">
        <v>-28.6</v>
      </c>
      <c r="Z44" s="226">
        <v>-31.1</v>
      </c>
      <c r="AA44" s="520">
        <v>-11</v>
      </c>
      <c r="AB44" s="520">
        <v>-11</v>
      </c>
      <c r="AC44" s="520">
        <v>-11</v>
      </c>
      <c r="AD44" s="226">
        <v>-12.4</v>
      </c>
      <c r="AE44" s="520">
        <v>-12.9</v>
      </c>
      <c r="AF44" s="520">
        <v>-14.6</v>
      </c>
      <c r="AG44" s="520">
        <v>-15.3</v>
      </c>
      <c r="AH44" s="226">
        <v>-21.4</v>
      </c>
      <c r="AJ44" s="224">
        <v>-12.9</v>
      </c>
      <c r="AK44" s="520">
        <v>-14.6</v>
      </c>
      <c r="AL44" s="520">
        <v>-15.3</v>
      </c>
      <c r="AM44" s="226">
        <v>-21.4</v>
      </c>
      <c r="AO44" s="224">
        <v>-5</v>
      </c>
      <c r="AP44" s="520"/>
      <c r="AQ44" s="520"/>
      <c r="AR44" s="226"/>
    </row>
    <row r="45" spans="1:44" s="10" customFormat="1" ht="20.100000000000001" customHeight="1">
      <c r="A45" s="208" t="s">
        <v>47</v>
      </c>
      <c r="B45" s="686" t="s">
        <v>403</v>
      </c>
      <c r="C45" s="225">
        <v>0</v>
      </c>
      <c r="D45" s="225">
        <v>1.1000000000000001</v>
      </c>
      <c r="E45" s="225">
        <v>1.1000000000000001</v>
      </c>
      <c r="F45" s="294">
        <v>1.1000000000000001</v>
      </c>
      <c r="G45" s="241">
        <v>0</v>
      </c>
      <c r="H45" s="239">
        <v>0</v>
      </c>
      <c r="I45" s="239">
        <v>0</v>
      </c>
      <c r="J45" s="240">
        <v>0</v>
      </c>
      <c r="K45" s="242">
        <v>0</v>
      </c>
      <c r="L45" s="234">
        <v>0</v>
      </c>
      <c r="M45" s="234">
        <v>0</v>
      </c>
      <c r="N45" s="235">
        <v>0</v>
      </c>
      <c r="O45" s="224">
        <v>0</v>
      </c>
      <c r="P45" s="225">
        <v>0</v>
      </c>
      <c r="Q45" s="225">
        <v>0</v>
      </c>
      <c r="R45" s="226">
        <v>0</v>
      </c>
      <c r="S45" s="224">
        <v>0</v>
      </c>
      <c r="T45" s="225">
        <v>0</v>
      </c>
      <c r="U45" s="225">
        <v>0</v>
      </c>
      <c r="V45" s="226">
        <v>0.1</v>
      </c>
      <c r="W45" s="224">
        <v>0</v>
      </c>
      <c r="X45" s="225">
        <v>0</v>
      </c>
      <c r="Y45" s="225">
        <v>25</v>
      </c>
      <c r="Z45" s="226">
        <v>30.5</v>
      </c>
      <c r="AA45" s="520">
        <v>0</v>
      </c>
      <c r="AB45" s="520">
        <v>6.4</v>
      </c>
      <c r="AC45" s="520">
        <v>30</v>
      </c>
      <c r="AD45" s="226">
        <v>29.3</v>
      </c>
      <c r="AE45" s="520">
        <v>0</v>
      </c>
      <c r="AF45" s="520">
        <v>0</v>
      </c>
      <c r="AG45" s="520">
        <v>0</v>
      </c>
      <c r="AH45" s="226">
        <v>0.7</v>
      </c>
      <c r="AJ45" s="224">
        <v>0</v>
      </c>
      <c r="AK45" s="520">
        <v>0</v>
      </c>
      <c r="AL45" s="520">
        <v>0</v>
      </c>
      <c r="AM45" s="226">
        <v>0.7</v>
      </c>
      <c r="AO45" s="224">
        <v>0</v>
      </c>
      <c r="AP45" s="520"/>
      <c r="AQ45" s="520"/>
      <c r="AR45" s="226"/>
    </row>
    <row r="46" spans="1:44" s="10" customFormat="1" ht="20.100000000000001" customHeight="1">
      <c r="A46" s="208" t="s">
        <v>185</v>
      </c>
      <c r="B46" s="686" t="s">
        <v>404</v>
      </c>
      <c r="C46" s="239">
        <v>0</v>
      </c>
      <c r="D46" s="239">
        <v>0</v>
      </c>
      <c r="E46" s="239">
        <v>0</v>
      </c>
      <c r="F46" s="240">
        <v>0</v>
      </c>
      <c r="G46" s="241">
        <v>0</v>
      </c>
      <c r="H46" s="239">
        <v>0</v>
      </c>
      <c r="I46" s="239">
        <v>0</v>
      </c>
      <c r="J46" s="240">
        <v>0</v>
      </c>
      <c r="K46" s="242">
        <v>0</v>
      </c>
      <c r="L46" s="234">
        <v>5</v>
      </c>
      <c r="M46" s="234">
        <v>5.5</v>
      </c>
      <c r="N46" s="235">
        <v>6.6</v>
      </c>
      <c r="O46" s="224">
        <v>1.2</v>
      </c>
      <c r="P46" s="225">
        <v>-2.1</v>
      </c>
      <c r="Q46" s="225">
        <v>3.2</v>
      </c>
      <c r="R46" s="226">
        <v>3.9</v>
      </c>
      <c r="S46" s="224">
        <v>-5</v>
      </c>
      <c r="T46" s="225">
        <v>-4</v>
      </c>
      <c r="U46" s="225">
        <v>-3.5</v>
      </c>
      <c r="V46" s="226">
        <v>-1.6</v>
      </c>
      <c r="W46" s="224">
        <v>-1.1000000000000001</v>
      </c>
      <c r="X46" s="225">
        <v>0</v>
      </c>
      <c r="Y46" s="303" t="s">
        <v>178</v>
      </c>
      <c r="Z46" s="367" t="s">
        <v>178</v>
      </c>
      <c r="AA46" s="520">
        <v>-1.5</v>
      </c>
      <c r="AB46" s="520">
        <v>0</v>
      </c>
      <c r="AC46" s="520">
        <v>0</v>
      </c>
      <c r="AD46" s="367">
        <v>0</v>
      </c>
      <c r="AE46" s="520">
        <v>0</v>
      </c>
      <c r="AF46" s="520">
        <v>0</v>
      </c>
      <c r="AG46" s="520">
        <v>0</v>
      </c>
      <c r="AH46" s="367">
        <v>0</v>
      </c>
      <c r="AJ46" s="224">
        <v>0</v>
      </c>
      <c r="AK46" s="520">
        <v>0</v>
      </c>
      <c r="AL46" s="520">
        <v>0</v>
      </c>
      <c r="AM46" s="367">
        <v>0</v>
      </c>
      <c r="AO46" s="224">
        <v>0</v>
      </c>
      <c r="AP46" s="520"/>
      <c r="AQ46" s="520"/>
      <c r="AR46" s="367"/>
    </row>
    <row r="47" spans="1:44" s="10" customFormat="1" ht="20.100000000000001" customHeight="1">
      <c r="A47" s="208" t="s">
        <v>73</v>
      </c>
      <c r="B47" s="686" t="s">
        <v>405</v>
      </c>
      <c r="C47" s="239">
        <v>0</v>
      </c>
      <c r="D47" s="225">
        <v>1.258</v>
      </c>
      <c r="E47" s="225">
        <v>1.258</v>
      </c>
      <c r="F47" s="294">
        <v>2.706</v>
      </c>
      <c r="G47" s="224">
        <v>0</v>
      </c>
      <c r="H47" s="225">
        <v>2.5150000000000001</v>
      </c>
      <c r="I47" s="225">
        <v>2.5150000000000001</v>
      </c>
      <c r="J47" s="294">
        <v>2.5150000000000001</v>
      </c>
      <c r="K47" s="234">
        <v>2.5300000000000002</v>
      </c>
      <c r="L47" s="234">
        <v>2.5</v>
      </c>
      <c r="M47" s="234">
        <v>2.5</v>
      </c>
      <c r="N47" s="235">
        <v>2.5</v>
      </c>
      <c r="O47" s="224">
        <v>0</v>
      </c>
      <c r="P47" s="225">
        <v>0</v>
      </c>
      <c r="Q47" s="225">
        <v>0</v>
      </c>
      <c r="R47" s="226">
        <v>0</v>
      </c>
      <c r="S47" s="224">
        <v>0</v>
      </c>
      <c r="T47" s="225">
        <v>0</v>
      </c>
      <c r="U47" s="225">
        <v>0</v>
      </c>
      <c r="V47" s="226">
        <v>0</v>
      </c>
      <c r="W47" s="224">
        <v>0</v>
      </c>
      <c r="X47" s="225">
        <v>0</v>
      </c>
      <c r="Y47" s="225">
        <v>0</v>
      </c>
      <c r="Z47" s="226">
        <v>0</v>
      </c>
      <c r="AA47" s="520">
        <v>0</v>
      </c>
      <c r="AB47" s="520">
        <v>0</v>
      </c>
      <c r="AC47" s="520">
        <v>0</v>
      </c>
      <c r="AD47" s="226">
        <v>0</v>
      </c>
      <c r="AE47" s="520">
        <v>0</v>
      </c>
      <c r="AF47" s="520">
        <v>0</v>
      </c>
      <c r="AG47" s="520">
        <v>0</v>
      </c>
      <c r="AH47" s="226">
        <v>0</v>
      </c>
      <c r="AJ47" s="224">
        <v>0</v>
      </c>
      <c r="AK47" s="520">
        <v>0</v>
      </c>
      <c r="AL47" s="520">
        <v>0</v>
      </c>
      <c r="AM47" s="226">
        <v>0</v>
      </c>
      <c r="AO47" s="224">
        <v>0</v>
      </c>
      <c r="AP47" s="520"/>
      <c r="AQ47" s="520"/>
      <c r="AR47" s="226"/>
    </row>
    <row r="48" spans="1:44" s="562" customFormat="1" ht="20.100000000000001" customHeight="1">
      <c r="A48" s="601" t="s">
        <v>215</v>
      </c>
      <c r="B48" s="687" t="s">
        <v>406</v>
      </c>
      <c r="C48" s="610"/>
      <c r="D48" s="581"/>
      <c r="E48" s="581"/>
      <c r="F48" s="603"/>
      <c r="G48" s="604"/>
      <c r="H48" s="581"/>
      <c r="I48" s="581"/>
      <c r="J48" s="603"/>
      <c r="K48" s="606"/>
      <c r="L48" s="606"/>
      <c r="M48" s="606"/>
      <c r="N48" s="607"/>
      <c r="O48" s="604"/>
      <c r="P48" s="581"/>
      <c r="Q48" s="581"/>
      <c r="R48" s="608"/>
      <c r="S48" s="604"/>
      <c r="T48" s="581"/>
      <c r="U48" s="581"/>
      <c r="V48" s="608"/>
      <c r="W48" s="604"/>
      <c r="X48" s="581"/>
      <c r="Y48" s="581"/>
      <c r="Z48" s="608"/>
      <c r="AA48" s="581"/>
      <c r="AB48" s="581"/>
      <c r="AC48" s="581"/>
      <c r="AD48" s="608"/>
      <c r="AE48" s="581"/>
      <c r="AF48" s="581">
        <v>8.6999999999999993</v>
      </c>
      <c r="AG48" s="581">
        <v>8.6999999999999993</v>
      </c>
      <c r="AH48" s="608">
        <v>8.6999999999999993</v>
      </c>
      <c r="AJ48" s="604"/>
      <c r="AK48" s="581">
        <v>8.6999999999999993</v>
      </c>
      <c r="AL48" s="581">
        <v>8.6999999999999993</v>
      </c>
      <c r="AM48" s="608">
        <v>8.6999999999999993</v>
      </c>
      <c r="AO48" s="604">
        <v>0</v>
      </c>
      <c r="AP48" s="581"/>
      <c r="AQ48" s="581"/>
      <c r="AR48" s="608"/>
    </row>
    <row r="49" spans="1:44" s="10" customFormat="1" ht="20.100000000000001" customHeight="1" thickBot="1">
      <c r="A49" s="208" t="s">
        <v>181</v>
      </c>
      <c r="B49" s="686" t="s">
        <v>407</v>
      </c>
      <c r="C49" s="239">
        <v>0</v>
      </c>
      <c r="D49" s="239">
        <v>0</v>
      </c>
      <c r="E49" s="239">
        <v>0</v>
      </c>
      <c r="F49" s="240">
        <v>0</v>
      </c>
      <c r="G49" s="241">
        <v>0</v>
      </c>
      <c r="H49" s="239">
        <v>0</v>
      </c>
      <c r="I49" s="239">
        <v>0</v>
      </c>
      <c r="J49" s="240">
        <v>0</v>
      </c>
      <c r="K49" s="242">
        <v>0</v>
      </c>
      <c r="L49" s="234">
        <v>0</v>
      </c>
      <c r="M49" s="234">
        <v>0</v>
      </c>
      <c r="N49" s="235">
        <v>0</v>
      </c>
      <c r="O49" s="224">
        <v>0</v>
      </c>
      <c r="P49" s="225">
        <v>0</v>
      </c>
      <c r="Q49" s="225">
        <v>0</v>
      </c>
      <c r="R49" s="226">
        <v>0</v>
      </c>
      <c r="S49" s="224">
        <v>0</v>
      </c>
      <c r="T49" s="225">
        <v>1</v>
      </c>
      <c r="U49" s="225">
        <v>1</v>
      </c>
      <c r="V49" s="226">
        <v>3.5</v>
      </c>
      <c r="W49" s="224">
        <v>1.2</v>
      </c>
      <c r="X49" s="244">
        <v>-0.5</v>
      </c>
      <c r="Y49" s="225">
        <v>5.9</v>
      </c>
      <c r="Z49" s="226">
        <v>6.4</v>
      </c>
      <c r="AA49" s="520">
        <v>1.1000000000000001</v>
      </c>
      <c r="AB49" s="524">
        <v>-0.9</v>
      </c>
      <c r="AC49" s="524">
        <v>-5.9</v>
      </c>
      <c r="AD49" s="226">
        <v>1.2</v>
      </c>
      <c r="AE49" s="520">
        <v>3</v>
      </c>
      <c r="AF49" s="524">
        <v>0.5</v>
      </c>
      <c r="AG49" s="524">
        <v>2.4</v>
      </c>
      <c r="AH49" s="226">
        <v>0.7</v>
      </c>
      <c r="AJ49" s="224">
        <v>3</v>
      </c>
      <c r="AK49" s="524">
        <v>0.5</v>
      </c>
      <c r="AL49" s="524">
        <v>2.4</v>
      </c>
      <c r="AM49" s="226">
        <v>0.7</v>
      </c>
      <c r="AO49" s="224">
        <v>2.9</v>
      </c>
      <c r="AP49" s="524"/>
      <c r="AQ49" s="524"/>
      <c r="AR49" s="226"/>
    </row>
    <row r="50" spans="1:44" s="10" customFormat="1" ht="24.95" customHeight="1" thickBot="1">
      <c r="A50" s="13" t="s">
        <v>64</v>
      </c>
      <c r="B50" s="675" t="s">
        <v>408</v>
      </c>
      <c r="C50" s="228">
        <f t="shared" ref="C50:Z50" si="21">SUM(C33:C49)</f>
        <v>-24.143000000000004</v>
      </c>
      <c r="D50" s="228">
        <f t="shared" si="21"/>
        <v>-83.230000000000018</v>
      </c>
      <c r="E50" s="228">
        <f t="shared" si="21"/>
        <v>-107.08400000000002</v>
      </c>
      <c r="F50" s="217">
        <f t="shared" si="21"/>
        <v>-133.43099999999998</v>
      </c>
      <c r="G50" s="227">
        <f t="shared" si="21"/>
        <v>-34.882999999999996</v>
      </c>
      <c r="H50" s="228">
        <f t="shared" si="21"/>
        <v>-58.354000000000006</v>
      </c>
      <c r="I50" s="228">
        <f t="shared" si="21"/>
        <v>-110.15100000000002</v>
      </c>
      <c r="J50" s="217">
        <f t="shared" si="21"/>
        <v>-133.83700000000002</v>
      </c>
      <c r="K50" s="227">
        <f t="shared" si="21"/>
        <v>-36.552999999999997</v>
      </c>
      <c r="L50" s="228">
        <f t="shared" si="21"/>
        <v>1394.1000000000001</v>
      </c>
      <c r="M50" s="228">
        <f t="shared" si="21"/>
        <v>1042.3</v>
      </c>
      <c r="N50" s="236">
        <f t="shared" si="21"/>
        <v>972.80000000000007</v>
      </c>
      <c r="O50" s="227">
        <f t="shared" si="21"/>
        <v>-208.2</v>
      </c>
      <c r="P50" s="228">
        <f t="shared" si="21"/>
        <v>-347.59999999999997</v>
      </c>
      <c r="Q50" s="228">
        <f t="shared" si="21"/>
        <v>-576.29999999999995</v>
      </c>
      <c r="R50" s="229">
        <f t="shared" si="21"/>
        <v>-726.60000000000014</v>
      </c>
      <c r="S50" s="227">
        <f t="shared" si="21"/>
        <v>-24.899999999999988</v>
      </c>
      <c r="T50" s="228">
        <f t="shared" si="21"/>
        <v>-541.09999999999991</v>
      </c>
      <c r="U50" s="228">
        <f t="shared" si="21"/>
        <v>-815.19999999999993</v>
      </c>
      <c r="V50" s="229">
        <f t="shared" si="21"/>
        <v>-1003.4</v>
      </c>
      <c r="W50" s="227">
        <f t="shared" si="21"/>
        <v>-159.20000000000002</v>
      </c>
      <c r="X50" s="228">
        <f t="shared" si="21"/>
        <v>-367.5</v>
      </c>
      <c r="Y50" s="228">
        <f t="shared" si="21"/>
        <v>-657.20000000000016</v>
      </c>
      <c r="Z50" s="217">
        <f t="shared" si="21"/>
        <v>-1573.2999999999997</v>
      </c>
      <c r="AA50" s="227">
        <f>SUM(AA33:AA49)</f>
        <v>-255.4</v>
      </c>
      <c r="AB50" s="521">
        <f>SUM(AB33:AB49)</f>
        <v>-637.70000000000005</v>
      </c>
      <c r="AC50" s="521">
        <f>SUM(AC33:AC49)</f>
        <v>-1197.3000000000002</v>
      </c>
      <c r="AD50" s="229">
        <f>SUM(AD33:AD49)</f>
        <v>-1835.5</v>
      </c>
      <c r="AE50" s="227">
        <f>SUM(AE33:AE49)</f>
        <v>-367.19999999999993</v>
      </c>
      <c r="AF50" s="521">
        <f t="shared" ref="AF50" si="22">SUM(AF33:AF49)</f>
        <v>-731.99999999999989</v>
      </c>
      <c r="AG50" s="521">
        <f t="shared" ref="AG50:AH50" si="23">SUM(AG33:AG49)</f>
        <v>-1181.4999999999998</v>
      </c>
      <c r="AH50" s="229">
        <f t="shared" si="23"/>
        <v>-2715.1000000000008</v>
      </c>
      <c r="AJ50" s="227">
        <f>SUM(AJ33:AJ49)</f>
        <v>-367.19999999999993</v>
      </c>
      <c r="AK50" s="521">
        <f t="shared" ref="AK50" si="24">SUM(AK33:AK49)</f>
        <v>-731.99999999999989</v>
      </c>
      <c r="AL50" s="521">
        <f t="shared" ref="AL50:AM50" si="25">SUM(AL33:AL49)</f>
        <v>-1181.4999999999998</v>
      </c>
      <c r="AM50" s="229">
        <f t="shared" si="25"/>
        <v>-2715.1000000000008</v>
      </c>
      <c r="AO50" s="227">
        <f>SUM(AO33:AO49)</f>
        <v>-364</v>
      </c>
      <c r="AP50" s="521">
        <f t="shared" ref="AP50:AR50" si="26">SUM(AP33:AP49)</f>
        <v>0</v>
      </c>
      <c r="AQ50" s="521">
        <f t="shared" si="26"/>
        <v>0</v>
      </c>
      <c r="AR50" s="229">
        <f t="shared" si="26"/>
        <v>0</v>
      </c>
    </row>
    <row r="51" spans="1:44" s="10" customFormat="1" ht="20.100000000000001" customHeight="1">
      <c r="A51" s="208" t="s">
        <v>42</v>
      </c>
      <c r="B51" s="686" t="s">
        <v>409</v>
      </c>
      <c r="C51" s="225">
        <v>-26.754999999999999</v>
      </c>
      <c r="D51" s="225">
        <v>-155.76300000000001</v>
      </c>
      <c r="E51" s="225">
        <v>-397.57499999999999</v>
      </c>
      <c r="F51" s="294">
        <v>-453.32400000000001</v>
      </c>
      <c r="G51" s="224">
        <v>-49.813000000000002</v>
      </c>
      <c r="H51" s="225">
        <v>-192.59</v>
      </c>
      <c r="I51" s="225">
        <v>-366.16200000000003</v>
      </c>
      <c r="J51" s="294">
        <v>-431.11700000000002</v>
      </c>
      <c r="K51" s="234">
        <v>-37.393999999999998</v>
      </c>
      <c r="L51" s="234">
        <v>-547.1</v>
      </c>
      <c r="M51" s="234">
        <v>-747.1</v>
      </c>
      <c r="N51" s="235">
        <v>-1087.0999999999999</v>
      </c>
      <c r="O51" s="224">
        <v>-157</v>
      </c>
      <c r="P51" s="225">
        <v>-954.2</v>
      </c>
      <c r="Q51" s="225">
        <v>-9222.2000000000007</v>
      </c>
      <c r="R51" s="226">
        <v>-9222.2000000000007</v>
      </c>
      <c r="S51" s="224">
        <v>-916.1</v>
      </c>
      <c r="T51" s="225">
        <v>-1498.9</v>
      </c>
      <c r="U51" s="225">
        <v>-1706.9</v>
      </c>
      <c r="V51" s="226">
        <v>-1940.9</v>
      </c>
      <c r="W51" s="224">
        <v>-234</v>
      </c>
      <c r="X51" s="225">
        <v>-568</v>
      </c>
      <c r="Y51" s="225">
        <v>-802</v>
      </c>
      <c r="Z51" s="226">
        <v>-1162.5</v>
      </c>
      <c r="AA51" s="225">
        <v>-550</v>
      </c>
      <c r="AB51" s="520">
        <v>-652</v>
      </c>
      <c r="AC51" s="520">
        <v>-1077.8</v>
      </c>
      <c r="AD51" s="226">
        <v>-1282.2</v>
      </c>
      <c r="AE51" s="520">
        <v>-584.4</v>
      </c>
      <c r="AF51" s="520">
        <v>-851.6</v>
      </c>
      <c r="AG51" s="520">
        <v>-1406</v>
      </c>
      <c r="AH51" s="226">
        <v>-1742.5</v>
      </c>
      <c r="AJ51" s="224">
        <v>-584.4</v>
      </c>
      <c r="AK51" s="520">
        <v>-851.6</v>
      </c>
      <c r="AL51" s="520">
        <v>-1406</v>
      </c>
      <c r="AM51" s="226">
        <v>-1742.5</v>
      </c>
      <c r="AO51" s="224">
        <v>-857.2</v>
      </c>
      <c r="AP51" s="520"/>
      <c r="AQ51" s="520"/>
      <c r="AR51" s="226"/>
    </row>
    <row r="52" spans="1:44" s="10" customFormat="1" ht="20.100000000000001" customHeight="1">
      <c r="A52" s="208" t="s">
        <v>94</v>
      </c>
      <c r="B52" s="686" t="s">
        <v>410</v>
      </c>
      <c r="C52" s="239">
        <v>0</v>
      </c>
      <c r="D52" s="239">
        <v>0</v>
      </c>
      <c r="E52" s="239">
        <v>0</v>
      </c>
      <c r="F52" s="240">
        <v>0</v>
      </c>
      <c r="G52" s="241">
        <v>0</v>
      </c>
      <c r="H52" s="239">
        <v>0</v>
      </c>
      <c r="I52" s="239">
        <v>0</v>
      </c>
      <c r="J52" s="240">
        <v>0</v>
      </c>
      <c r="K52" s="242">
        <v>0</v>
      </c>
      <c r="L52" s="234">
        <v>2800</v>
      </c>
      <c r="M52" s="234">
        <v>2800</v>
      </c>
      <c r="N52" s="235">
        <v>2800</v>
      </c>
      <c r="O52" s="224">
        <v>50</v>
      </c>
      <c r="P52" s="225">
        <v>120</v>
      </c>
      <c r="Q52" s="225">
        <v>6820</v>
      </c>
      <c r="R52" s="226">
        <v>6820</v>
      </c>
      <c r="S52" s="224">
        <v>5500</v>
      </c>
      <c r="T52" s="225">
        <v>5500</v>
      </c>
      <c r="U52" s="225">
        <v>5500</v>
      </c>
      <c r="V52" s="226">
        <v>5500</v>
      </c>
      <c r="W52" s="224">
        <v>0</v>
      </c>
      <c r="X52" s="225">
        <v>600</v>
      </c>
      <c r="Y52" s="225">
        <v>600</v>
      </c>
      <c r="Z52" s="226">
        <v>1200</v>
      </c>
      <c r="AA52" s="225">
        <v>0</v>
      </c>
      <c r="AB52" s="520">
        <v>18.100000000000001</v>
      </c>
      <c r="AC52" s="520">
        <v>635.29999999999995</v>
      </c>
      <c r="AD52" s="226">
        <v>635.29999999999995</v>
      </c>
      <c r="AE52" s="520">
        <v>0</v>
      </c>
      <c r="AF52" s="520">
        <v>0</v>
      </c>
      <c r="AG52" s="520">
        <v>780</v>
      </c>
      <c r="AH52" s="226">
        <v>2010</v>
      </c>
      <c r="AJ52" s="224">
        <v>0</v>
      </c>
      <c r="AK52" s="520">
        <v>0</v>
      </c>
      <c r="AL52" s="520">
        <v>780</v>
      </c>
      <c r="AM52" s="226">
        <v>2010</v>
      </c>
      <c r="AO52" s="224">
        <v>35</v>
      </c>
      <c r="AP52" s="520"/>
      <c r="AQ52" s="520"/>
      <c r="AR52" s="226"/>
    </row>
    <row r="53" spans="1:44" s="562" customFormat="1" ht="20.100000000000001" customHeight="1">
      <c r="A53" s="601" t="s">
        <v>166</v>
      </c>
      <c r="B53" s="687" t="s">
        <v>411</v>
      </c>
      <c r="C53" s="610">
        <v>0</v>
      </c>
      <c r="D53" s="610">
        <v>0</v>
      </c>
      <c r="E53" s="610">
        <v>0</v>
      </c>
      <c r="F53" s="611">
        <v>0</v>
      </c>
      <c r="G53" s="612">
        <v>0</v>
      </c>
      <c r="H53" s="610">
        <v>0</v>
      </c>
      <c r="I53" s="610">
        <v>0</v>
      </c>
      <c r="J53" s="611">
        <v>0</v>
      </c>
      <c r="K53" s="605">
        <v>0</v>
      </c>
      <c r="L53" s="606">
        <v>-2275.9</v>
      </c>
      <c r="M53" s="606">
        <v>-2275.9</v>
      </c>
      <c r="N53" s="607">
        <v>-2275.9</v>
      </c>
      <c r="O53" s="604">
        <v>0</v>
      </c>
      <c r="P53" s="581">
        <v>0</v>
      </c>
      <c r="Q53" s="581">
        <v>1000</v>
      </c>
      <c r="R53" s="608">
        <v>1000</v>
      </c>
      <c r="S53" s="604">
        <v>-4483.8</v>
      </c>
      <c r="T53" s="581">
        <v>-4483.8</v>
      </c>
      <c r="U53" s="581">
        <v>-4483.8</v>
      </c>
      <c r="V53" s="608">
        <v>-4484</v>
      </c>
      <c r="W53" s="604">
        <v>0</v>
      </c>
      <c r="X53" s="581">
        <v>-886.7</v>
      </c>
      <c r="Y53" s="581">
        <v>-886.7</v>
      </c>
      <c r="Z53" s="608">
        <v>-886.7</v>
      </c>
      <c r="AA53" s="581">
        <v>0</v>
      </c>
      <c r="AB53" s="581">
        <v>0</v>
      </c>
      <c r="AC53" s="581">
        <v>0</v>
      </c>
      <c r="AD53" s="608">
        <v>0</v>
      </c>
      <c r="AE53" s="581">
        <v>0</v>
      </c>
      <c r="AF53" s="614" t="s">
        <v>221</v>
      </c>
      <c r="AG53" s="614" t="s">
        <v>221</v>
      </c>
      <c r="AH53" s="367" t="s">
        <v>221</v>
      </c>
      <c r="AJ53" s="604">
        <v>0</v>
      </c>
      <c r="AK53" s="614" t="s">
        <v>221</v>
      </c>
      <c r="AL53" s="614" t="s">
        <v>221</v>
      </c>
      <c r="AM53" s="367" t="s">
        <v>221</v>
      </c>
      <c r="AO53" s="604">
        <v>1000</v>
      </c>
      <c r="AP53" s="614"/>
      <c r="AQ53" s="614"/>
      <c r="AR53" s="367"/>
    </row>
    <row r="54" spans="1:44" s="10" customFormat="1" ht="20.100000000000001" customHeight="1">
      <c r="A54" s="208" t="s">
        <v>187</v>
      </c>
      <c r="B54" s="686" t="s">
        <v>412</v>
      </c>
      <c r="C54" s="239"/>
      <c r="D54" s="239"/>
      <c r="E54" s="239"/>
      <c r="F54" s="240"/>
      <c r="G54" s="241"/>
      <c r="H54" s="239"/>
      <c r="I54" s="239"/>
      <c r="J54" s="240"/>
      <c r="K54" s="242"/>
      <c r="L54" s="234"/>
      <c r="M54" s="234"/>
      <c r="N54" s="235"/>
      <c r="O54" s="224"/>
      <c r="P54" s="225"/>
      <c r="Q54" s="225"/>
      <c r="R54" s="226"/>
      <c r="S54" s="224">
        <v>-262.10000000000002</v>
      </c>
      <c r="T54" s="225">
        <v>-262.10000000000002</v>
      </c>
      <c r="U54" s="225">
        <v>-262.10000000000002</v>
      </c>
      <c r="V54" s="226">
        <v>-262.10000000000002</v>
      </c>
      <c r="W54" s="224">
        <v>0</v>
      </c>
      <c r="X54" s="225">
        <v>-58.7</v>
      </c>
      <c r="Y54" s="225">
        <v>-58.7</v>
      </c>
      <c r="Z54" s="226">
        <v>-58.7</v>
      </c>
      <c r="AA54" s="225">
        <v>0</v>
      </c>
      <c r="AB54" s="520">
        <v>0</v>
      </c>
      <c r="AC54" s="520">
        <v>0</v>
      </c>
      <c r="AD54" s="226">
        <v>0</v>
      </c>
      <c r="AE54" s="520">
        <v>0</v>
      </c>
      <c r="AF54" s="520">
        <v>0</v>
      </c>
      <c r="AG54" s="520">
        <v>0</v>
      </c>
      <c r="AH54" s="226">
        <v>0</v>
      </c>
      <c r="AJ54" s="224">
        <v>0</v>
      </c>
      <c r="AK54" s="520">
        <v>0</v>
      </c>
      <c r="AL54" s="520">
        <v>0</v>
      </c>
      <c r="AM54" s="226">
        <v>0</v>
      </c>
      <c r="AO54" s="224">
        <v>0</v>
      </c>
      <c r="AP54" s="520"/>
      <c r="AQ54" s="520"/>
      <c r="AR54" s="226"/>
    </row>
    <row r="55" spans="1:44" s="10" customFormat="1" ht="20.100000000000001" customHeight="1">
      <c r="A55" s="208" t="s">
        <v>152</v>
      </c>
      <c r="B55" s="686" t="s">
        <v>413</v>
      </c>
      <c r="C55" s="239"/>
      <c r="D55" s="239"/>
      <c r="E55" s="239"/>
      <c r="F55" s="240"/>
      <c r="G55" s="241"/>
      <c r="H55" s="239"/>
      <c r="I55" s="239"/>
      <c r="J55" s="240"/>
      <c r="K55" s="242"/>
      <c r="L55" s="234"/>
      <c r="M55" s="234"/>
      <c r="N55" s="235"/>
      <c r="O55" s="224"/>
      <c r="P55" s="225"/>
      <c r="Q55" s="225"/>
      <c r="R55" s="226"/>
      <c r="S55" s="224">
        <v>175.4</v>
      </c>
      <c r="T55" s="225">
        <v>175.4</v>
      </c>
      <c r="U55" s="225">
        <v>175.4</v>
      </c>
      <c r="V55" s="226">
        <v>175.4</v>
      </c>
      <c r="W55" s="224">
        <v>0</v>
      </c>
      <c r="X55" s="225">
        <v>0</v>
      </c>
      <c r="Y55" s="225">
        <v>0</v>
      </c>
      <c r="Z55" s="226">
        <v>0</v>
      </c>
      <c r="AA55" s="225">
        <v>0</v>
      </c>
      <c r="AB55" s="520">
        <v>0</v>
      </c>
      <c r="AC55" s="520">
        <v>0</v>
      </c>
      <c r="AD55" s="226">
        <v>0</v>
      </c>
      <c r="AE55" s="520">
        <v>0</v>
      </c>
      <c r="AF55" s="520">
        <v>0</v>
      </c>
      <c r="AG55" s="520">
        <v>0</v>
      </c>
      <c r="AH55" s="226">
        <v>0</v>
      </c>
      <c r="AJ55" s="224">
        <v>0</v>
      </c>
      <c r="AK55" s="520">
        <v>0</v>
      </c>
      <c r="AL55" s="520">
        <v>0</v>
      </c>
      <c r="AM55" s="226">
        <v>0</v>
      </c>
      <c r="AO55" s="224">
        <v>0</v>
      </c>
      <c r="AP55" s="520"/>
      <c r="AQ55" s="520"/>
      <c r="AR55" s="226"/>
    </row>
    <row r="56" spans="1:44" s="562" customFormat="1" ht="15">
      <c r="A56" s="613" t="s">
        <v>223</v>
      </c>
      <c r="B56" s="690" t="s">
        <v>414</v>
      </c>
      <c r="C56" s="581">
        <v>-26.132999999999999</v>
      </c>
      <c r="D56" s="581">
        <f>(-103258-821)*0.001</f>
        <v>-104.07900000000001</v>
      </c>
      <c r="E56" s="581">
        <f>(-125824-2250)*0.001</f>
        <v>-128.07400000000001</v>
      </c>
      <c r="F56" s="603">
        <f>(-195934-3683)*0.001</f>
        <v>-199.61699999999999</v>
      </c>
      <c r="G56" s="604">
        <f>(-15811-1035)*0.001</f>
        <v>-16.846</v>
      </c>
      <c r="H56" s="581">
        <f>(-84439-1241)*0.001</f>
        <v>-85.68</v>
      </c>
      <c r="I56" s="581">
        <f>(-96215-1689)*0.001</f>
        <v>-97.903999999999996</v>
      </c>
      <c r="J56" s="603">
        <v>-165.017</v>
      </c>
      <c r="K56" s="606">
        <v>-9.0950000000000006</v>
      </c>
      <c r="L56" s="606">
        <v>-348.3</v>
      </c>
      <c r="M56" s="606">
        <v>-733.5</v>
      </c>
      <c r="N56" s="607">
        <v>-872.2</v>
      </c>
      <c r="O56" s="604">
        <v>-357.9</v>
      </c>
      <c r="P56" s="581">
        <v>-472.3</v>
      </c>
      <c r="Q56" s="581">
        <v>-804.1</v>
      </c>
      <c r="R56" s="608">
        <v>-978.9</v>
      </c>
      <c r="S56" s="604">
        <v>-383.2</v>
      </c>
      <c r="T56" s="581">
        <v>-507.9</v>
      </c>
      <c r="U56" s="581">
        <v>-631.70000000000005</v>
      </c>
      <c r="V56" s="608">
        <v>-729.6</v>
      </c>
      <c r="W56" s="604">
        <v>-112.5</v>
      </c>
      <c r="X56" s="581">
        <v>-206</v>
      </c>
      <c r="Y56" s="581">
        <v>-319.60000000000002</v>
      </c>
      <c r="Z56" s="608">
        <v>-409.9</v>
      </c>
      <c r="AA56" s="581">
        <v>-138</v>
      </c>
      <c r="AB56" s="581">
        <v>-230.9</v>
      </c>
      <c r="AC56" s="581">
        <v>-342.8</v>
      </c>
      <c r="AD56" s="608">
        <v>-419</v>
      </c>
      <c r="AE56" s="581">
        <v>-107.1</v>
      </c>
      <c r="AF56" s="581">
        <v>-205.5</v>
      </c>
      <c r="AG56" s="581">
        <v>-362</v>
      </c>
      <c r="AH56" s="608">
        <v>-465.4</v>
      </c>
      <c r="AJ56" s="604">
        <v>-107.1</v>
      </c>
      <c r="AK56" s="581">
        <v>-205.5</v>
      </c>
      <c r="AL56" s="581">
        <v>-362</v>
      </c>
      <c r="AM56" s="608">
        <v>-465.4</v>
      </c>
      <c r="AO56" s="604">
        <v>-84.6</v>
      </c>
      <c r="AP56" s="581"/>
      <c r="AQ56" s="581"/>
      <c r="AR56" s="608"/>
    </row>
    <row r="57" spans="1:44" s="10" customFormat="1" ht="20.100000000000001" customHeight="1">
      <c r="A57" s="209" t="s">
        <v>211</v>
      </c>
      <c r="B57" s="692" t="s">
        <v>415</v>
      </c>
      <c r="C57" s="520"/>
      <c r="D57" s="520"/>
      <c r="E57" s="520"/>
      <c r="F57" s="294"/>
      <c r="G57" s="224"/>
      <c r="H57" s="520"/>
      <c r="I57" s="520"/>
      <c r="J57" s="294"/>
      <c r="K57" s="234"/>
      <c r="L57" s="234"/>
      <c r="M57" s="234"/>
      <c r="N57" s="235"/>
      <c r="O57" s="224"/>
      <c r="P57" s="520"/>
      <c r="Q57" s="520"/>
      <c r="R57" s="226"/>
      <c r="S57" s="224"/>
      <c r="T57" s="520"/>
      <c r="U57" s="520"/>
      <c r="V57" s="226"/>
      <c r="W57" s="224"/>
      <c r="X57" s="520"/>
      <c r="Y57" s="520"/>
      <c r="Z57" s="226"/>
      <c r="AA57" s="520"/>
      <c r="AB57" s="520"/>
      <c r="AC57" s="520"/>
      <c r="AD57" s="226"/>
      <c r="AE57" s="520">
        <v>-0.2</v>
      </c>
      <c r="AF57" s="520">
        <v>-0.4</v>
      </c>
      <c r="AG57" s="520">
        <v>-0.6</v>
      </c>
      <c r="AH57" s="226">
        <v>-0.8</v>
      </c>
      <c r="AJ57" s="224">
        <v>-7.8</v>
      </c>
      <c r="AK57" s="520">
        <v>-18.8</v>
      </c>
      <c r="AL57" s="520">
        <v>-28.6</v>
      </c>
      <c r="AM57" s="226">
        <v>-47.6</v>
      </c>
      <c r="AO57" s="224">
        <v>-12.4</v>
      </c>
      <c r="AP57" s="520"/>
      <c r="AQ57" s="520"/>
      <c r="AR57" s="226"/>
    </row>
    <row r="58" spans="1:44" s="10" customFormat="1" ht="20.100000000000001" customHeight="1">
      <c r="A58" s="209" t="s">
        <v>212</v>
      </c>
      <c r="B58" s="692" t="s">
        <v>416</v>
      </c>
      <c r="C58" s="520"/>
      <c r="D58" s="520"/>
      <c r="E58" s="520"/>
      <c r="F58" s="294"/>
      <c r="G58" s="224"/>
      <c r="H58" s="520"/>
      <c r="I58" s="520"/>
      <c r="J58" s="294"/>
      <c r="K58" s="234"/>
      <c r="L58" s="234"/>
      <c r="M58" s="234"/>
      <c r="N58" s="235"/>
      <c r="O58" s="224"/>
      <c r="P58" s="520"/>
      <c r="Q58" s="520"/>
      <c r="R58" s="226"/>
      <c r="S58" s="224"/>
      <c r="T58" s="520"/>
      <c r="U58" s="520"/>
      <c r="V58" s="226"/>
      <c r="W58" s="224"/>
      <c r="X58" s="520"/>
      <c r="Y58" s="520"/>
      <c r="Z58" s="226"/>
      <c r="AA58" s="520"/>
      <c r="AB58" s="520"/>
      <c r="AC58" s="520"/>
      <c r="AD58" s="226"/>
      <c r="AE58" s="520">
        <v>-3.1</v>
      </c>
      <c r="AF58" s="520">
        <v>-6.1</v>
      </c>
      <c r="AG58" s="520">
        <v>-8.9</v>
      </c>
      <c r="AH58" s="226">
        <v>-4.4000000000000004</v>
      </c>
      <c r="AJ58" s="224">
        <v>-54.5</v>
      </c>
      <c r="AK58" s="520">
        <v>-142.69999999999999</v>
      </c>
      <c r="AL58" s="520">
        <v>-234</v>
      </c>
      <c r="AM58" s="226">
        <v>-343.7</v>
      </c>
      <c r="AO58" s="224">
        <v>-106.3</v>
      </c>
      <c r="AP58" s="520"/>
      <c r="AQ58" s="520"/>
      <c r="AR58" s="226"/>
    </row>
    <row r="59" spans="1:44" s="10" customFormat="1" ht="20.100000000000001" customHeight="1">
      <c r="A59" s="208" t="s">
        <v>179</v>
      </c>
      <c r="B59" s="686" t="s">
        <v>417</v>
      </c>
      <c r="C59" s="239">
        <v>0</v>
      </c>
      <c r="D59" s="239">
        <v>0</v>
      </c>
      <c r="E59" s="239">
        <v>0</v>
      </c>
      <c r="F59" s="240">
        <v>0</v>
      </c>
      <c r="G59" s="241">
        <v>0</v>
      </c>
      <c r="H59" s="239">
        <v>0</v>
      </c>
      <c r="I59" s="239">
        <v>0</v>
      </c>
      <c r="J59" s="240">
        <v>0</v>
      </c>
      <c r="K59" s="242">
        <v>0</v>
      </c>
      <c r="L59" s="234">
        <v>-102.9</v>
      </c>
      <c r="M59" s="234">
        <v>-102.9</v>
      </c>
      <c r="N59" s="235">
        <v>-102.9</v>
      </c>
      <c r="O59" s="224">
        <v>0</v>
      </c>
      <c r="P59" s="225">
        <v>0</v>
      </c>
      <c r="Q59" s="225">
        <v>0</v>
      </c>
      <c r="R59" s="226">
        <v>0</v>
      </c>
      <c r="S59" s="224">
        <v>0</v>
      </c>
      <c r="T59" s="225">
        <v>0</v>
      </c>
      <c r="U59" s="225">
        <v>0</v>
      </c>
      <c r="V59" s="226">
        <v>0</v>
      </c>
      <c r="W59" s="224">
        <v>0</v>
      </c>
      <c r="X59" s="225">
        <v>0</v>
      </c>
      <c r="Y59" s="225">
        <v>-204.7</v>
      </c>
      <c r="Z59" s="226">
        <v>-204.7</v>
      </c>
      <c r="AA59" s="225">
        <v>0</v>
      </c>
      <c r="AB59" s="520">
        <v>0</v>
      </c>
      <c r="AC59" s="520">
        <v>0</v>
      </c>
      <c r="AD59" s="226">
        <v>0</v>
      </c>
      <c r="AE59" s="520">
        <v>0</v>
      </c>
      <c r="AF59" s="520">
        <v>0</v>
      </c>
      <c r="AG59" s="520">
        <v>-287.8</v>
      </c>
      <c r="AH59" s="226">
        <v>-594.79999999999995</v>
      </c>
      <c r="AJ59" s="224">
        <v>0</v>
      </c>
      <c r="AK59" s="520">
        <v>0</v>
      </c>
      <c r="AL59" s="520">
        <v>-287.8</v>
      </c>
      <c r="AM59" s="226">
        <v>-594.79999999999995</v>
      </c>
      <c r="AO59" s="224">
        <v>0</v>
      </c>
      <c r="AP59" s="520"/>
      <c r="AQ59" s="520"/>
      <c r="AR59" s="226"/>
    </row>
    <row r="60" spans="1:44" s="362" customFormat="1" ht="20.100000000000001" customHeight="1">
      <c r="A60" s="393" t="s">
        <v>184</v>
      </c>
      <c r="B60" s="688" t="s">
        <v>418</v>
      </c>
      <c r="C60" s="397"/>
      <c r="D60" s="397"/>
      <c r="E60" s="397"/>
      <c r="F60" s="398"/>
      <c r="G60" s="399"/>
      <c r="H60" s="397"/>
      <c r="I60" s="397"/>
      <c r="J60" s="398"/>
      <c r="K60" s="402"/>
      <c r="L60" s="396"/>
      <c r="M60" s="396"/>
      <c r="N60" s="235"/>
      <c r="O60" s="395"/>
      <c r="P60" s="244"/>
      <c r="Q60" s="244"/>
      <c r="R60" s="226"/>
      <c r="S60" s="395"/>
      <c r="T60" s="244">
        <v>-323.60000000000002</v>
      </c>
      <c r="U60" s="244">
        <v>-323.60000000000002</v>
      </c>
      <c r="V60" s="226">
        <v>-323.60000000000002</v>
      </c>
      <c r="W60" s="395">
        <v>0</v>
      </c>
      <c r="X60" s="244">
        <v>0</v>
      </c>
      <c r="Y60" s="244">
        <v>0</v>
      </c>
      <c r="Z60" s="226">
        <v>0</v>
      </c>
      <c r="AA60" s="244">
        <v>0</v>
      </c>
      <c r="AB60" s="524">
        <v>0</v>
      </c>
      <c r="AC60" s="524">
        <v>0</v>
      </c>
      <c r="AD60" s="226">
        <v>0</v>
      </c>
      <c r="AE60" s="520">
        <v>0</v>
      </c>
      <c r="AF60" s="524">
        <v>0</v>
      </c>
      <c r="AG60" s="524">
        <v>0</v>
      </c>
      <c r="AH60" s="226">
        <v>0</v>
      </c>
      <c r="AJ60" s="395">
        <v>0</v>
      </c>
      <c r="AK60" s="524">
        <v>0</v>
      </c>
      <c r="AL60" s="524">
        <v>0</v>
      </c>
      <c r="AM60" s="226">
        <v>0</v>
      </c>
      <c r="AO60" s="395">
        <v>0</v>
      </c>
      <c r="AP60" s="524"/>
      <c r="AQ60" s="524"/>
      <c r="AR60" s="226"/>
    </row>
    <row r="61" spans="1:44" s="10" customFormat="1" ht="20.100000000000001" customHeight="1">
      <c r="A61" s="208" t="s">
        <v>233</v>
      </c>
      <c r="B61" s="686" t="s">
        <v>419</v>
      </c>
      <c r="C61" s="225">
        <v>-8.4000000000000005E-2</v>
      </c>
      <c r="D61" s="225">
        <v>-0.23899999999999999</v>
      </c>
      <c r="E61" s="225">
        <v>-0.315</v>
      </c>
      <c r="F61" s="294">
        <v>-0.40600000000000003</v>
      </c>
      <c r="G61" s="224">
        <v>-7.8E-2</v>
      </c>
      <c r="H61" s="225">
        <v>-0.16800000000000001</v>
      </c>
      <c r="I61" s="225">
        <v>-0.25600000000000001</v>
      </c>
      <c r="J61" s="294">
        <v>-0.33</v>
      </c>
      <c r="K61" s="234">
        <v>-6.2E-2</v>
      </c>
      <c r="L61" s="234">
        <v>-0.3</v>
      </c>
      <c r="M61" s="234">
        <v>-0.7</v>
      </c>
      <c r="N61" s="235">
        <v>-0.9</v>
      </c>
      <c r="O61" s="224">
        <v>-2.5</v>
      </c>
      <c r="P61" s="225">
        <v>-3.5</v>
      </c>
      <c r="Q61" s="225">
        <v>-4.5</v>
      </c>
      <c r="R61" s="226">
        <v>-5.6</v>
      </c>
      <c r="S61" s="224">
        <v>-2.1</v>
      </c>
      <c r="T61" s="225">
        <v>-2.7</v>
      </c>
      <c r="U61" s="225">
        <v>-4.4000000000000004</v>
      </c>
      <c r="V61" s="226">
        <v>-6</v>
      </c>
      <c r="W61" s="224">
        <f>-0.3-1.4</f>
        <v>-1.7</v>
      </c>
      <c r="X61" s="225">
        <v>-2.9</v>
      </c>
      <c r="Y61" s="225">
        <v>-4.3</v>
      </c>
      <c r="Z61" s="226">
        <v>-5.2</v>
      </c>
      <c r="AA61" s="225">
        <v>-1.6</v>
      </c>
      <c r="AB61" s="520">
        <v>-3.4</v>
      </c>
      <c r="AC61" s="520">
        <v>-4.8</v>
      </c>
      <c r="AD61" s="226">
        <v>-8.4</v>
      </c>
      <c r="AE61" s="520">
        <v>-0.6</v>
      </c>
      <c r="AF61" s="520">
        <v>-0.4</v>
      </c>
      <c r="AG61" s="520">
        <v>-0.6</v>
      </c>
      <c r="AH61" s="226">
        <v>-0.7</v>
      </c>
      <c r="AJ61" s="224">
        <v>-0.6</v>
      </c>
      <c r="AK61" s="520">
        <v>-0.4</v>
      </c>
      <c r="AL61" s="520">
        <v>-0.6</v>
      </c>
      <c r="AM61" s="226">
        <v>-0.7</v>
      </c>
      <c r="AO61" s="224">
        <v>-4.5</v>
      </c>
      <c r="AP61" s="520"/>
      <c r="AQ61" s="520"/>
      <c r="AR61" s="226"/>
    </row>
    <row r="62" spans="1:44" s="10" customFormat="1" ht="20.100000000000001" customHeight="1" thickBot="1">
      <c r="A62" s="208" t="s">
        <v>88</v>
      </c>
      <c r="B62" s="686" t="s">
        <v>420</v>
      </c>
      <c r="C62" s="243">
        <v>0</v>
      </c>
      <c r="D62" s="243">
        <v>0</v>
      </c>
      <c r="E62" s="243">
        <v>0</v>
      </c>
      <c r="F62" s="240">
        <v>0</v>
      </c>
      <c r="G62" s="241">
        <v>0</v>
      </c>
      <c r="H62" s="239">
        <v>0</v>
      </c>
      <c r="I62" s="239">
        <v>0</v>
      </c>
      <c r="J62" s="240">
        <v>0</v>
      </c>
      <c r="K62" s="242">
        <v>0</v>
      </c>
      <c r="L62" s="234">
        <v>-3.8</v>
      </c>
      <c r="M62" s="234">
        <v>-3.9</v>
      </c>
      <c r="N62" s="235">
        <v>-3.9</v>
      </c>
      <c r="O62" s="224">
        <v>0</v>
      </c>
      <c r="P62" s="225">
        <v>0</v>
      </c>
      <c r="Q62" s="225">
        <v>0</v>
      </c>
      <c r="R62" s="226">
        <v>0</v>
      </c>
      <c r="S62" s="224">
        <v>0</v>
      </c>
      <c r="T62" s="225">
        <v>0</v>
      </c>
      <c r="U62" s="225">
        <v>0</v>
      </c>
      <c r="V62" s="226">
        <v>0</v>
      </c>
      <c r="W62" s="224">
        <v>0</v>
      </c>
      <c r="X62" s="225">
        <v>0</v>
      </c>
      <c r="Y62" s="225">
        <v>0</v>
      </c>
      <c r="Z62" s="226">
        <v>0</v>
      </c>
      <c r="AA62" s="225">
        <v>0</v>
      </c>
      <c r="AB62" s="520"/>
      <c r="AC62" s="520">
        <v>0</v>
      </c>
      <c r="AD62" s="226">
        <v>0</v>
      </c>
      <c r="AE62" s="520">
        <v>0</v>
      </c>
      <c r="AF62" s="520">
        <v>0</v>
      </c>
      <c r="AG62" s="520">
        <v>0</v>
      </c>
      <c r="AH62" s="226">
        <v>0</v>
      </c>
      <c r="AJ62" s="224">
        <v>0</v>
      </c>
      <c r="AK62" s="520">
        <v>0</v>
      </c>
      <c r="AL62" s="520">
        <v>0</v>
      </c>
      <c r="AM62" s="226">
        <v>0</v>
      </c>
      <c r="AO62" s="224">
        <v>0</v>
      </c>
      <c r="AP62" s="520"/>
      <c r="AQ62" s="520"/>
      <c r="AR62" s="226"/>
    </row>
    <row r="63" spans="1:44" s="10" customFormat="1" ht="20.100000000000001" customHeight="1" thickBot="1">
      <c r="A63" s="13" t="s">
        <v>65</v>
      </c>
      <c r="B63" s="675" t="s">
        <v>421</v>
      </c>
      <c r="C63" s="228">
        <f t="shared" ref="C63:X63" si="27">SUM(C51:C62)</f>
        <v>-52.972000000000001</v>
      </c>
      <c r="D63" s="228">
        <f t="shared" si="27"/>
        <v>-260.08099999999996</v>
      </c>
      <c r="E63" s="228">
        <f t="shared" si="27"/>
        <v>-525.96400000000006</v>
      </c>
      <c r="F63" s="217">
        <f t="shared" si="27"/>
        <v>-653.34699999999998</v>
      </c>
      <c r="G63" s="227">
        <f t="shared" si="27"/>
        <v>-66.737000000000009</v>
      </c>
      <c r="H63" s="228">
        <f t="shared" si="27"/>
        <v>-278.43799999999999</v>
      </c>
      <c r="I63" s="228">
        <f t="shared" si="27"/>
        <v>-464.322</v>
      </c>
      <c r="J63" s="217">
        <f t="shared" si="27"/>
        <v>-596.46400000000006</v>
      </c>
      <c r="K63" s="227">
        <f t="shared" si="27"/>
        <v>-46.550999999999995</v>
      </c>
      <c r="L63" s="228">
        <f t="shared" si="27"/>
        <v>-478.30000000000007</v>
      </c>
      <c r="M63" s="228">
        <f t="shared" si="27"/>
        <v>-1064.0000000000002</v>
      </c>
      <c r="N63" s="236">
        <f t="shared" si="27"/>
        <v>-1542.9000000000003</v>
      </c>
      <c r="O63" s="227">
        <f t="shared" si="27"/>
        <v>-467.4</v>
      </c>
      <c r="P63" s="228">
        <f t="shared" si="27"/>
        <v>-1310</v>
      </c>
      <c r="Q63" s="228">
        <f t="shared" si="27"/>
        <v>-2210.8000000000006</v>
      </c>
      <c r="R63" s="229">
        <f t="shared" si="27"/>
        <v>-2386.7000000000007</v>
      </c>
      <c r="S63" s="227">
        <f t="shared" si="27"/>
        <v>-371.90000000000055</v>
      </c>
      <c r="T63" s="228">
        <f t="shared" si="27"/>
        <v>-1403.6000000000001</v>
      </c>
      <c r="U63" s="228">
        <f t="shared" si="27"/>
        <v>-1737.1000000000004</v>
      </c>
      <c r="V63" s="229">
        <f t="shared" si="27"/>
        <v>-2070.8000000000002</v>
      </c>
      <c r="W63" s="227">
        <f t="shared" si="27"/>
        <v>-348.2</v>
      </c>
      <c r="X63" s="228">
        <f t="shared" si="27"/>
        <v>-1122.3000000000002</v>
      </c>
      <c r="Y63" s="228">
        <f>SUM(Y51:Y62)</f>
        <v>-1676</v>
      </c>
      <c r="Z63" s="217">
        <f>SUM(Z51:Z62)</f>
        <v>-1527.7000000000003</v>
      </c>
      <c r="AA63" s="228">
        <f t="shared" ref="AA63:AD63" si="28">SUM(AA51:AA62)</f>
        <v>-689.6</v>
      </c>
      <c r="AB63" s="521">
        <f t="shared" si="28"/>
        <v>-868.19999999999993</v>
      </c>
      <c r="AC63" s="521">
        <f t="shared" ref="AC63" si="29">SUM(AC51:AC62)</f>
        <v>-790.09999999999991</v>
      </c>
      <c r="AD63" s="229">
        <f t="shared" si="28"/>
        <v>-1074.3000000000002</v>
      </c>
      <c r="AE63" s="521">
        <f t="shared" ref="AE63:AH63" si="30">SUM(AE51:AE62)</f>
        <v>-695.40000000000009</v>
      </c>
      <c r="AF63" s="521">
        <f t="shared" si="30"/>
        <v>-1064</v>
      </c>
      <c r="AG63" s="521">
        <f>SUM(AG51:AG62)</f>
        <v>-1285.8999999999999</v>
      </c>
      <c r="AH63" s="229">
        <f t="shared" si="30"/>
        <v>-798.6</v>
      </c>
      <c r="AJ63" s="227">
        <f t="shared" ref="AJ63:AK63" si="31">SUM(AJ51:AJ62)</f>
        <v>-754.4</v>
      </c>
      <c r="AK63" s="521">
        <f t="shared" si="31"/>
        <v>-1219</v>
      </c>
      <c r="AL63" s="521">
        <f>SUM(AL51:AL62)</f>
        <v>-1538.9999999999998</v>
      </c>
      <c r="AM63" s="229">
        <f t="shared" ref="AM63" si="32">SUM(AM51:AM62)</f>
        <v>-1184.7</v>
      </c>
      <c r="AO63" s="227">
        <f t="shared" ref="AO63:AP63" si="33">SUM(AO51:AO62)</f>
        <v>-30.000000000000043</v>
      </c>
      <c r="AP63" s="521">
        <f t="shared" si="33"/>
        <v>0</v>
      </c>
      <c r="AQ63" s="521">
        <f>SUM(AQ51:AQ62)</f>
        <v>0</v>
      </c>
      <c r="AR63" s="229">
        <f t="shared" ref="AR63" si="34">SUM(AR51:AR62)</f>
        <v>0</v>
      </c>
    </row>
    <row r="64" spans="1:44" s="11" customFormat="1" ht="20.100000000000001" customHeight="1" thickBot="1">
      <c r="A64" s="13" t="s">
        <v>39</v>
      </c>
      <c r="B64" s="675" t="s">
        <v>422</v>
      </c>
      <c r="C64" s="228">
        <f>C32+C50+C63</f>
        <v>146.86399999999998</v>
      </c>
      <c r="D64" s="228">
        <f t="shared" ref="D64:X64" si="35">D63+D50+D32</f>
        <v>33.256000000000029</v>
      </c>
      <c r="E64" s="228">
        <f t="shared" si="35"/>
        <v>-51.083999999999946</v>
      </c>
      <c r="F64" s="217">
        <f t="shared" si="35"/>
        <v>-5.4109999999999445</v>
      </c>
      <c r="G64" s="227">
        <f t="shared" si="35"/>
        <v>53.822999999999979</v>
      </c>
      <c r="H64" s="228">
        <f t="shared" si="35"/>
        <v>-5.0790000000000077</v>
      </c>
      <c r="I64" s="228">
        <f t="shared" si="35"/>
        <v>-55.118000000000166</v>
      </c>
      <c r="J64" s="217">
        <f t="shared" si="35"/>
        <v>72.357999999999834</v>
      </c>
      <c r="K64" s="228">
        <f t="shared" si="35"/>
        <v>85.956000000000017</v>
      </c>
      <c r="L64" s="228">
        <f t="shared" si="35"/>
        <v>1565.3999999999999</v>
      </c>
      <c r="M64" s="228">
        <f t="shared" si="35"/>
        <v>1300.0999999999999</v>
      </c>
      <c r="N64" s="236">
        <f t="shared" si="35"/>
        <v>1403.7999999999997</v>
      </c>
      <c r="O64" s="227">
        <f t="shared" si="35"/>
        <v>-257.89999999999981</v>
      </c>
      <c r="P64" s="228">
        <f t="shared" si="35"/>
        <v>-353.30000000000041</v>
      </c>
      <c r="Q64" s="228">
        <f t="shared" si="35"/>
        <v>-677.30000000000109</v>
      </c>
      <c r="R64" s="229">
        <f t="shared" si="35"/>
        <v>-225.60000000000127</v>
      </c>
      <c r="S64" s="227">
        <f t="shared" si="35"/>
        <v>49.999999999999602</v>
      </c>
      <c r="T64" s="228">
        <f t="shared" si="35"/>
        <v>-568.70000000000005</v>
      </c>
      <c r="U64" s="228">
        <f t="shared" si="35"/>
        <v>-411.39999999999918</v>
      </c>
      <c r="V64" s="229">
        <f t="shared" si="35"/>
        <v>-189.5</v>
      </c>
      <c r="W64" s="227">
        <f t="shared" si="35"/>
        <v>244.3000000000003</v>
      </c>
      <c r="X64" s="228">
        <f t="shared" si="35"/>
        <v>29.599999999999909</v>
      </c>
      <c r="Y64" s="228">
        <f t="shared" ref="Y64:Z64" si="36">Y63+Y50+Y32</f>
        <v>-245.50000000000045</v>
      </c>
      <c r="Z64" s="217">
        <f t="shared" si="36"/>
        <v>-159.59999999999945</v>
      </c>
      <c r="AA64" s="228">
        <f>AA63+AA50+AA32</f>
        <v>-374.99999999999989</v>
      </c>
      <c r="AB64" s="521">
        <f>AB63+AB50+AB32</f>
        <v>-285.70000000000005</v>
      </c>
      <c r="AC64" s="521">
        <f>AC63+AC50+AC32</f>
        <v>-11.199999999999818</v>
      </c>
      <c r="AD64" s="229">
        <f>AD63+AD50+AD32</f>
        <v>5.2999999999997272</v>
      </c>
      <c r="AE64" s="521">
        <f t="shared" ref="AE64:AH64" si="37">AE63+AE50+AE32</f>
        <v>-420.69999999999993</v>
      </c>
      <c r="AF64" s="521">
        <f t="shared" si="37"/>
        <v>-392.89999999999986</v>
      </c>
      <c r="AG64" s="521">
        <f t="shared" si="37"/>
        <v>-294.79999999999927</v>
      </c>
      <c r="AH64" s="229">
        <f t="shared" si="37"/>
        <v>-426.40000000000055</v>
      </c>
      <c r="AJ64" s="227">
        <f t="shared" ref="AJ64:AM64" si="38">AJ63+AJ50+AJ32</f>
        <v>-420.69999999999993</v>
      </c>
      <c r="AK64" s="521">
        <f t="shared" si="38"/>
        <v>-392.89999999999986</v>
      </c>
      <c r="AL64" s="521">
        <f t="shared" si="38"/>
        <v>-294.79999999999882</v>
      </c>
      <c r="AM64" s="229">
        <f t="shared" si="38"/>
        <v>-426.40000000000146</v>
      </c>
      <c r="AO64" s="227">
        <f t="shared" ref="AO64:AR64" si="39">AO63+AO50+AO32</f>
        <v>384.78882651999987</v>
      </c>
      <c r="AP64" s="521">
        <f t="shared" si="39"/>
        <v>0</v>
      </c>
      <c r="AQ64" s="521">
        <f t="shared" si="39"/>
        <v>0</v>
      </c>
      <c r="AR64" s="229">
        <f t="shared" si="39"/>
        <v>0</v>
      </c>
    </row>
    <row r="65" spans="1:44" s="11" customFormat="1" ht="20.100000000000001" customHeight="1">
      <c r="A65" s="210" t="s">
        <v>40</v>
      </c>
      <c r="B65" s="691" t="s">
        <v>423</v>
      </c>
      <c r="C65" s="231">
        <v>277.53399999999999</v>
      </c>
      <c r="D65" s="231">
        <v>277.53399999999999</v>
      </c>
      <c r="E65" s="231">
        <v>277.53399999999999</v>
      </c>
      <c r="F65" s="295">
        <v>277.53399999999999</v>
      </c>
      <c r="G65" s="230">
        <v>270.35399999999998</v>
      </c>
      <c r="H65" s="231">
        <v>270.35399999999998</v>
      </c>
      <c r="I65" s="231">
        <v>270.35399999999998</v>
      </c>
      <c r="J65" s="295">
        <v>270.35399999999998</v>
      </c>
      <c r="K65" s="231">
        <v>342.25100000000003</v>
      </c>
      <c r="L65" s="231">
        <v>342.2</v>
      </c>
      <c r="M65" s="231">
        <v>342.2</v>
      </c>
      <c r="N65" s="237">
        <v>342.2</v>
      </c>
      <c r="O65" s="230">
        <v>1747.9</v>
      </c>
      <c r="P65" s="231">
        <v>1747.9</v>
      </c>
      <c r="Q65" s="231">
        <v>1747.9</v>
      </c>
      <c r="R65" s="232">
        <v>1747.9</v>
      </c>
      <c r="S65" s="230">
        <f>$R$67</f>
        <v>1523.6999999999989</v>
      </c>
      <c r="T65" s="231">
        <f t="shared" ref="T65:V65" si="40">$R$67</f>
        <v>1523.6999999999989</v>
      </c>
      <c r="U65" s="231">
        <f t="shared" si="40"/>
        <v>1523.6999999999989</v>
      </c>
      <c r="V65" s="232">
        <f t="shared" si="40"/>
        <v>1523.6999999999989</v>
      </c>
      <c r="W65" s="230">
        <f>V67</f>
        <v>1336.6999999999989</v>
      </c>
      <c r="X65" s="231">
        <f>V67</f>
        <v>1336.6999999999989</v>
      </c>
      <c r="Y65" s="231">
        <f>V67</f>
        <v>1336.6999999999989</v>
      </c>
      <c r="Z65" s="232">
        <f>Y65</f>
        <v>1336.6999999999989</v>
      </c>
      <c r="AA65" s="231">
        <f>Z67</f>
        <v>1171.9999999999995</v>
      </c>
      <c r="AB65" s="522">
        <f>Z67</f>
        <v>1171.9999999999995</v>
      </c>
      <c r="AC65" s="522">
        <f>Z67</f>
        <v>1171.9999999999995</v>
      </c>
      <c r="AD65" s="232">
        <f>AC65</f>
        <v>1171.9999999999995</v>
      </c>
      <c r="AE65" s="522">
        <v>1178.7</v>
      </c>
      <c r="AF65" s="522">
        <f>AD67</f>
        <v>1178.6999999999994</v>
      </c>
      <c r="AG65" s="522">
        <f>AD67</f>
        <v>1178.6999999999994</v>
      </c>
      <c r="AH65" s="232">
        <f>AD67</f>
        <v>1178.6999999999994</v>
      </c>
      <c r="AJ65" s="230">
        <v>1178.7</v>
      </c>
      <c r="AK65" s="522">
        <f>AD67</f>
        <v>1178.6999999999994</v>
      </c>
      <c r="AL65" s="522">
        <f>AD67</f>
        <v>1178.6999999999994</v>
      </c>
      <c r="AM65" s="232">
        <f>AD67</f>
        <v>1178.6999999999994</v>
      </c>
      <c r="AO65" s="230">
        <f>AM67</f>
        <v>753.09999999999786</v>
      </c>
      <c r="AP65" s="522"/>
      <c r="AQ65" s="522"/>
      <c r="AR65" s="232"/>
    </row>
    <row r="66" spans="1:44" s="10" customFormat="1" ht="20.100000000000001" customHeight="1" thickBot="1">
      <c r="A66" s="208" t="s">
        <v>41</v>
      </c>
      <c r="B66" s="686" t="s">
        <v>424</v>
      </c>
      <c r="C66" s="225">
        <v>-2.5009999999999999</v>
      </c>
      <c r="D66" s="225">
        <v>-1.2710000000000001</v>
      </c>
      <c r="E66" s="225">
        <v>-1.339</v>
      </c>
      <c r="F66" s="294">
        <v>-1.7690000000000001</v>
      </c>
      <c r="G66" s="224">
        <v>0.161</v>
      </c>
      <c r="H66" s="225">
        <v>0.52800000000000002</v>
      </c>
      <c r="I66" s="225">
        <v>0.16</v>
      </c>
      <c r="J66" s="294">
        <v>-0.46100000000000002</v>
      </c>
      <c r="K66" s="234">
        <v>-1.7000000000000001E-2</v>
      </c>
      <c r="L66" s="234">
        <v>-0.7</v>
      </c>
      <c r="M66" s="234">
        <v>0.9</v>
      </c>
      <c r="N66" s="238">
        <v>1.9</v>
      </c>
      <c r="O66" s="224">
        <v>1.6</v>
      </c>
      <c r="P66" s="225">
        <v>2</v>
      </c>
      <c r="Q66" s="225">
        <v>1.4</v>
      </c>
      <c r="R66" s="226">
        <v>1.4</v>
      </c>
      <c r="S66" s="224">
        <v>-3.7</v>
      </c>
      <c r="T66" s="225">
        <v>0.4</v>
      </c>
      <c r="U66" s="225">
        <v>-2.1</v>
      </c>
      <c r="V66" s="226">
        <v>2.5</v>
      </c>
      <c r="W66" s="224">
        <v>-3.7</v>
      </c>
      <c r="X66" s="225">
        <v>-3.7</v>
      </c>
      <c r="Y66" s="225">
        <v>-2.8</v>
      </c>
      <c r="Z66" s="226">
        <v>-5.0999999999999996</v>
      </c>
      <c r="AA66" s="225">
        <v>0.5</v>
      </c>
      <c r="AB66" s="520">
        <v>1.5</v>
      </c>
      <c r="AC66" s="520">
        <v>2.2999999999999998</v>
      </c>
      <c r="AD66" s="226">
        <v>1.4</v>
      </c>
      <c r="AE66" s="520">
        <v>-1</v>
      </c>
      <c r="AF66" s="520">
        <v>-2</v>
      </c>
      <c r="AG66" s="520">
        <v>2.2999999999999998</v>
      </c>
      <c r="AH66" s="226">
        <v>0.8</v>
      </c>
      <c r="AJ66" s="579">
        <v>-1</v>
      </c>
      <c r="AK66" s="520">
        <v>-2</v>
      </c>
      <c r="AL66" s="520">
        <v>2.2999999999999998</v>
      </c>
      <c r="AM66" s="226">
        <v>0.8</v>
      </c>
      <c r="AO66" s="579">
        <v>2.9</v>
      </c>
      <c r="AP66" s="520"/>
      <c r="AQ66" s="520"/>
      <c r="AR66" s="226"/>
    </row>
    <row r="67" spans="1:44" s="10" customFormat="1" ht="13.5" thickBot="1">
      <c r="A67" s="13" t="s">
        <v>93</v>
      </c>
      <c r="B67" s="675" t="s">
        <v>425</v>
      </c>
      <c r="C67" s="228">
        <f>C64+C65+C66</f>
        <v>421.89699999999999</v>
      </c>
      <c r="D67" s="228">
        <f t="shared" ref="D67:R67" si="41">D65+D64+D66</f>
        <v>309.51900000000001</v>
      </c>
      <c r="E67" s="228">
        <f t="shared" si="41"/>
        <v>225.11100000000005</v>
      </c>
      <c r="F67" s="217">
        <f t="shared" si="41"/>
        <v>270.35400000000004</v>
      </c>
      <c r="G67" s="227">
        <f t="shared" si="41"/>
        <v>324.33799999999997</v>
      </c>
      <c r="H67" s="228">
        <f t="shared" si="41"/>
        <v>265.803</v>
      </c>
      <c r="I67" s="228">
        <f t="shared" si="41"/>
        <v>215.39599999999982</v>
      </c>
      <c r="J67" s="217">
        <f t="shared" si="41"/>
        <v>342.25099999999981</v>
      </c>
      <c r="K67" s="228">
        <f t="shared" si="41"/>
        <v>428.19000000000005</v>
      </c>
      <c r="L67" s="228">
        <f t="shared" si="41"/>
        <v>1906.8999999999999</v>
      </c>
      <c r="M67" s="228">
        <f t="shared" si="41"/>
        <v>1643.2</v>
      </c>
      <c r="N67" s="236">
        <f t="shared" si="41"/>
        <v>1747.8999999999999</v>
      </c>
      <c r="O67" s="227">
        <f t="shared" si="41"/>
        <v>1491.6000000000001</v>
      </c>
      <c r="P67" s="228">
        <f t="shared" si="41"/>
        <v>1396.5999999999997</v>
      </c>
      <c r="Q67" s="228">
        <f t="shared" si="41"/>
        <v>1071.9999999999991</v>
      </c>
      <c r="R67" s="217">
        <f t="shared" si="41"/>
        <v>1523.6999999999989</v>
      </c>
      <c r="S67" s="227">
        <f t="shared" ref="S67:Z67" si="42">S65+S64+S66</f>
        <v>1569.9999999999984</v>
      </c>
      <c r="T67" s="228">
        <f t="shared" si="42"/>
        <v>955.39999999999884</v>
      </c>
      <c r="U67" s="228">
        <f t="shared" si="42"/>
        <v>1110.1999999999998</v>
      </c>
      <c r="V67" s="217">
        <f t="shared" si="42"/>
        <v>1336.6999999999989</v>
      </c>
      <c r="W67" s="227">
        <f t="shared" si="42"/>
        <v>1577.299999999999</v>
      </c>
      <c r="X67" s="228">
        <f t="shared" si="42"/>
        <v>1362.5999999999988</v>
      </c>
      <c r="Y67" s="228">
        <f t="shared" si="42"/>
        <v>1088.3999999999985</v>
      </c>
      <c r="Z67" s="217">
        <f t="shared" si="42"/>
        <v>1171.9999999999995</v>
      </c>
      <c r="AA67" s="228">
        <f t="shared" ref="AA67:AD67" si="43">AA65+AA64+AA66</f>
        <v>797.49999999999966</v>
      </c>
      <c r="AB67" s="521">
        <f t="shared" si="43"/>
        <v>887.7999999999995</v>
      </c>
      <c r="AC67" s="521">
        <f t="shared" si="43"/>
        <v>1163.0999999999997</v>
      </c>
      <c r="AD67" s="229">
        <f t="shared" si="43"/>
        <v>1178.6999999999994</v>
      </c>
      <c r="AE67" s="521">
        <f t="shared" ref="AE67:AH67" si="44">AE65+AE64+AE66</f>
        <v>757.00000000000011</v>
      </c>
      <c r="AF67" s="521">
        <f>AF65+AF64+AF66</f>
        <v>783.7999999999995</v>
      </c>
      <c r="AG67" s="521">
        <f t="shared" si="44"/>
        <v>886.2</v>
      </c>
      <c r="AH67" s="229">
        <f t="shared" si="44"/>
        <v>753.09999999999877</v>
      </c>
      <c r="AJ67" s="227">
        <f t="shared" ref="AJ67" si="45">AJ65+AJ64+AJ66</f>
        <v>757.00000000000011</v>
      </c>
      <c r="AK67" s="521">
        <f>AK65+AK64+AK66</f>
        <v>783.7999999999995</v>
      </c>
      <c r="AL67" s="521">
        <f t="shared" ref="AL67:AM67" si="46">AL65+AL64+AL66</f>
        <v>886.2000000000005</v>
      </c>
      <c r="AM67" s="229">
        <f t="shared" si="46"/>
        <v>753.09999999999786</v>
      </c>
      <c r="AO67" s="227">
        <f t="shared" ref="AO67" si="47">AO65+AO64+AO66</f>
        <v>1140.7888265199979</v>
      </c>
      <c r="AP67" s="521">
        <f>AP65+AP64+AP66</f>
        <v>0</v>
      </c>
      <c r="AQ67" s="521">
        <f t="shared" ref="AQ67:AR67" si="48">AQ65+AQ64+AQ66</f>
        <v>0</v>
      </c>
      <c r="AR67" s="229">
        <f t="shared" si="48"/>
        <v>0</v>
      </c>
    </row>
    <row r="68" spans="1:44" s="10" customFormat="1">
      <c r="N68" s="44"/>
    </row>
    <row r="69" spans="1:44" s="10" customFormat="1" ht="20.100000000000001" customHeight="1">
      <c r="A69" s="10" t="s">
        <v>195</v>
      </c>
      <c r="B69" s="10" t="s">
        <v>426</v>
      </c>
      <c r="N69" s="44"/>
      <c r="AB69" s="418"/>
    </row>
    <row r="70" spans="1:44" s="10" customFormat="1" ht="20.100000000000001" customHeight="1">
      <c r="A70" s="646" t="s">
        <v>194</v>
      </c>
      <c r="B70" s="646" t="s">
        <v>427</v>
      </c>
      <c r="N70" s="44"/>
      <c r="AB70" s="418"/>
    </row>
    <row r="71" spans="1:44" s="10" customFormat="1" ht="29.25" customHeight="1">
      <c r="A71" s="646" t="s">
        <v>193</v>
      </c>
      <c r="B71" s="646" t="s">
        <v>428</v>
      </c>
      <c r="N71" s="44"/>
      <c r="AB71" s="225"/>
    </row>
    <row r="72" spans="1:44" s="10" customFormat="1" ht="29.25" customHeight="1">
      <c r="A72" s="646" t="s">
        <v>180</v>
      </c>
      <c r="B72" s="646" t="s">
        <v>429</v>
      </c>
      <c r="N72" s="44"/>
      <c r="AB72" s="225"/>
    </row>
    <row r="73" spans="1:44" s="10" customFormat="1" ht="34.5" customHeight="1">
      <c r="A73" s="646" t="s">
        <v>236</v>
      </c>
      <c r="B73" s="646" t="s">
        <v>430</v>
      </c>
      <c r="N73" s="44"/>
      <c r="AB73" s="225"/>
    </row>
    <row r="74" spans="1:44" s="10" customFormat="1" ht="24" customHeight="1">
      <c r="A74" s="646" t="s">
        <v>237</v>
      </c>
      <c r="B74" s="646" t="s">
        <v>431</v>
      </c>
      <c r="N74" s="44"/>
      <c r="AB74" s="303"/>
    </row>
    <row r="75" spans="1:44" s="10" customFormat="1" ht="42" customHeight="1">
      <c r="A75" s="646" t="s">
        <v>222</v>
      </c>
      <c r="B75" s="646" t="s">
        <v>432</v>
      </c>
      <c r="N75" s="44"/>
      <c r="AB75" s="303"/>
      <c r="AD75" s="10" t="s">
        <v>207</v>
      </c>
    </row>
    <row r="76" spans="1:44" s="10" customFormat="1">
      <c r="N76" s="44"/>
      <c r="AB76" s="225"/>
    </row>
    <row r="77" spans="1:44" s="10" customFormat="1">
      <c r="N77" s="44"/>
      <c r="AB77" s="225"/>
    </row>
    <row r="78" spans="1:44" s="10" customFormat="1">
      <c r="N78" s="44"/>
      <c r="AB78" s="225"/>
    </row>
    <row r="79" spans="1:44" s="10" customFormat="1">
      <c r="N79" s="44"/>
      <c r="AB79" s="225"/>
    </row>
    <row r="80" spans="1:44" s="10" customFormat="1">
      <c r="N80" s="44"/>
      <c r="AB80" s="225"/>
    </row>
    <row r="81" spans="14:28" s="10" customFormat="1">
      <c r="N81" s="44"/>
      <c r="AB81" s="225"/>
    </row>
    <row r="82" spans="14:28" s="10" customFormat="1">
      <c r="N82" s="44"/>
      <c r="AB82" s="225"/>
    </row>
    <row r="83" spans="14:28" s="10" customFormat="1" ht="15">
      <c r="N83" s="44"/>
      <c r="AB83" s="303"/>
    </row>
    <row r="84" spans="14:28" s="10" customFormat="1" ht="15">
      <c r="N84" s="44"/>
      <c r="AB84" s="401"/>
    </row>
    <row r="85" spans="14:28" s="10" customFormat="1">
      <c r="N85" s="44"/>
      <c r="AB85" s="225"/>
    </row>
    <row r="86" spans="14:28" s="10" customFormat="1">
      <c r="N86" s="44"/>
      <c r="AB86" s="225"/>
    </row>
    <row r="87" spans="14:28" s="10" customFormat="1">
      <c r="N87" s="44"/>
      <c r="AB87" s="225"/>
    </row>
    <row r="88" spans="14:28" s="10" customFormat="1">
      <c r="N88" s="44"/>
      <c r="AB88" s="225"/>
    </row>
    <row r="89" spans="14:28" s="10" customFormat="1">
      <c r="N89" s="44"/>
      <c r="AB89" s="225"/>
    </row>
    <row r="90" spans="14:28" s="10" customFormat="1">
      <c r="N90" s="44"/>
      <c r="AB90" s="225"/>
    </row>
    <row r="91" spans="14:28" s="10" customFormat="1">
      <c r="N91" s="44"/>
      <c r="AB91" s="225"/>
    </row>
    <row r="92" spans="14:28" s="10" customFormat="1">
      <c r="N92" s="44"/>
      <c r="AB92" s="524"/>
    </row>
    <row r="93" spans="14:28" s="10" customFormat="1">
      <c r="N93" s="44"/>
      <c r="AB93" s="526"/>
    </row>
    <row r="94" spans="14:28" s="10" customFormat="1">
      <c r="N94" s="44"/>
      <c r="AB94" s="524"/>
    </row>
    <row r="95" spans="14:28" s="10" customFormat="1">
      <c r="N95" s="44"/>
      <c r="AB95" s="524"/>
    </row>
    <row r="96" spans="14:28" s="10" customFormat="1">
      <c r="N96" s="44"/>
      <c r="AB96" s="526"/>
    </row>
    <row r="97" spans="14:28" s="10" customFormat="1">
      <c r="N97" s="44"/>
      <c r="AB97" s="524"/>
    </row>
    <row r="98" spans="14:28" s="10" customFormat="1">
      <c r="N98" s="44"/>
      <c r="AB98" s="524"/>
    </row>
    <row r="99" spans="14:28" s="10" customFormat="1">
      <c r="N99" s="44"/>
      <c r="AB99" s="524"/>
    </row>
    <row r="100" spans="14:28" s="10" customFormat="1">
      <c r="N100" s="44"/>
      <c r="AB100" s="524"/>
    </row>
    <row r="101" spans="14:28" s="10" customFormat="1">
      <c r="N101" s="44"/>
      <c r="AB101" s="524"/>
    </row>
    <row r="102" spans="14:28" s="10" customFormat="1">
      <c r="N102" s="44"/>
      <c r="AB102" s="524"/>
    </row>
    <row r="103" spans="14:28" s="10" customFormat="1">
      <c r="N103" s="44"/>
      <c r="AB103" s="524"/>
    </row>
    <row r="104" spans="14:28" s="10" customFormat="1">
      <c r="N104" s="44"/>
      <c r="AB104" s="524"/>
    </row>
    <row r="105" spans="14:28" s="10" customFormat="1">
      <c r="N105" s="44"/>
      <c r="AB105" s="524"/>
    </row>
    <row r="106" spans="14:28" s="10" customFormat="1">
      <c r="N106" s="44"/>
      <c r="AB106" s="524"/>
    </row>
    <row r="107" spans="14:28" s="10" customFormat="1">
      <c r="AB107" s="524"/>
    </row>
    <row r="108" spans="14:28" s="10" customFormat="1">
      <c r="AB108" s="524"/>
    </row>
    <row r="109" spans="14:28" s="10" customFormat="1" ht="15">
      <c r="AB109" s="525"/>
    </row>
    <row r="110" spans="14:28" s="10" customFormat="1">
      <c r="AB110" s="524"/>
    </row>
    <row r="111" spans="14:28" s="10" customFormat="1">
      <c r="AB111" s="524"/>
    </row>
    <row r="112" spans="14:28" s="10" customFormat="1">
      <c r="AB112" s="526"/>
    </row>
    <row r="113" spans="28:28" s="10" customFormat="1">
      <c r="AB113" s="524"/>
    </row>
    <row r="114" spans="28:28" s="10" customFormat="1">
      <c r="AB114" s="524"/>
    </row>
    <row r="115" spans="28:28" s="10" customFormat="1">
      <c r="AB115" s="524"/>
    </row>
    <row r="116" spans="28:28" s="10" customFormat="1">
      <c r="AB116" s="524"/>
    </row>
    <row r="117" spans="28:28" s="10" customFormat="1">
      <c r="AB117" s="524"/>
    </row>
    <row r="118" spans="28:28" s="10" customFormat="1">
      <c r="AB118" s="524"/>
    </row>
    <row r="119" spans="28:28" s="10" customFormat="1">
      <c r="AB119" s="524"/>
    </row>
    <row r="120" spans="28:28" s="10" customFormat="1">
      <c r="AB120" s="524"/>
    </row>
    <row r="121" spans="28:28" s="10" customFormat="1">
      <c r="AB121" s="524"/>
    </row>
    <row r="122" spans="28:28" s="10" customFormat="1">
      <c r="AB122" s="524"/>
    </row>
    <row r="123" spans="28:28" s="10" customFormat="1">
      <c r="AB123" s="526"/>
    </row>
    <row r="124" spans="28:28" s="10" customFormat="1">
      <c r="AB124" s="526"/>
    </row>
    <row r="125" spans="28:28" s="10" customFormat="1">
      <c r="AB125" s="526"/>
    </row>
    <row r="126" spans="28:28" s="10" customFormat="1">
      <c r="AB126" s="524"/>
    </row>
    <row r="127" spans="28:28" s="10" customFormat="1">
      <c r="AB127" s="526"/>
    </row>
    <row r="128" spans="28:28" s="10" customFormat="1">
      <c r="AB128" s="364"/>
    </row>
    <row r="129" spans="28:28" s="10" customFormat="1">
      <c r="AB129" s="364"/>
    </row>
    <row r="130" spans="28:28" s="10" customFormat="1">
      <c r="AB130" s="364"/>
    </row>
    <row r="131" spans="28:28" s="10" customFormat="1">
      <c r="AB131" s="364"/>
    </row>
    <row r="132" spans="28:28" s="10" customFormat="1">
      <c r="AB132" s="364"/>
    </row>
    <row r="133" spans="28:28" s="10" customFormat="1">
      <c r="AB133" s="364"/>
    </row>
    <row r="134" spans="28:28" s="10" customFormat="1">
      <c r="AB134" s="364"/>
    </row>
    <row r="135" spans="28:28" s="10" customFormat="1">
      <c r="AB135" s="364"/>
    </row>
    <row r="136" spans="28:28" s="10" customFormat="1">
      <c r="AB136" s="364"/>
    </row>
    <row r="137" spans="28:28" s="10" customFormat="1">
      <c r="AB137" s="364"/>
    </row>
    <row r="138" spans="28:28" s="10" customFormat="1">
      <c r="AB138" s="364"/>
    </row>
    <row r="139" spans="28:28" s="10" customFormat="1">
      <c r="AB139" s="364"/>
    </row>
    <row r="140" spans="28:28" s="10" customFormat="1">
      <c r="AB140" s="364"/>
    </row>
    <row r="141" spans="28:28" s="10" customFormat="1">
      <c r="AB141" s="364"/>
    </row>
    <row r="142" spans="28:28" s="10" customFormat="1">
      <c r="AB142" s="364"/>
    </row>
    <row r="143" spans="28:28" s="10" customFormat="1">
      <c r="AB143" s="364"/>
    </row>
    <row r="144" spans="28:28" s="10" customFormat="1">
      <c r="AB144" s="364"/>
    </row>
    <row r="145" spans="1:30" s="10" customFormat="1">
      <c r="AB145" s="364"/>
    </row>
    <row r="146" spans="1:30">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364"/>
      <c r="AC146" s="10"/>
      <c r="AD146" s="10"/>
    </row>
    <row r="147" spans="1:30">
      <c r="AB147" s="364"/>
    </row>
    <row r="148" spans="1:30">
      <c r="AB148" s="364"/>
    </row>
    <row r="149" spans="1:30">
      <c r="AB149" s="364"/>
    </row>
    <row r="150" spans="1:30">
      <c r="AB150" s="364"/>
    </row>
    <row r="151" spans="1:30">
      <c r="AB151" s="364"/>
    </row>
    <row r="152" spans="1:30">
      <c r="AB152" s="364"/>
    </row>
    <row r="153" spans="1:30">
      <c r="AB153" s="364"/>
    </row>
    <row r="154" spans="1:30">
      <c r="AB154" s="364"/>
    </row>
  </sheetData>
  <mergeCells count="10">
    <mergeCell ref="C2:F2"/>
    <mergeCell ref="G2:J2"/>
    <mergeCell ref="K2:N2"/>
    <mergeCell ref="O2:R2"/>
    <mergeCell ref="S2:V2"/>
    <mergeCell ref="AO2:AR2"/>
    <mergeCell ref="AJ2:AM2"/>
    <mergeCell ref="AE2:AH2"/>
    <mergeCell ref="AA2:AD2"/>
    <mergeCell ref="W2:Z2"/>
  </mergeCells>
  <pageMargins left="0.70866141732283505" right="0.70866141732283505" top="0.74803149606299202" bottom="0.74803149606299202" header="0.31496062992126" footer="0.31496062992126"/>
  <pageSetup paperSize="9" scale="33" orientation="landscape" horizontalDpi="1200" verticalDpi="1200" r:id="rId1"/>
  <ignoredErrors>
    <ignoredError sqref="AC32"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AU56"/>
  <sheetViews>
    <sheetView showGridLines="0" zoomScale="115" zoomScaleNormal="115" zoomScaleSheetLayoutView="85" workbookViewId="0">
      <pane xSplit="2" ySplit="5" topLeftCell="AL6" activePane="bottomRight" state="frozen"/>
      <selection pane="topRight" activeCell="C1" sqref="C1"/>
      <selection pane="bottomLeft" activeCell="A6" sqref="A6"/>
      <selection pane="bottomRight" activeCell="B60" sqref="B60"/>
    </sheetView>
  </sheetViews>
  <sheetFormatPr defaultColWidth="9" defaultRowHeight="28.5" customHeight="1" outlineLevelRow="1" outlineLevelCol="1"/>
  <cols>
    <col min="1" max="2" width="40.625" style="1" customWidth="1"/>
    <col min="3" max="14" width="10.625" style="2" hidden="1" customWidth="1" outlineLevel="1"/>
    <col min="15" max="15" width="0" style="2" hidden="1" customWidth="1" outlineLevel="1"/>
    <col min="16" max="17" width="10.625" style="2" hidden="1" customWidth="1" outlineLevel="1"/>
    <col min="18" max="18" width="0" style="2" hidden="1" customWidth="1" outlineLevel="1"/>
    <col min="19" max="20" width="0" style="4" hidden="1" customWidth="1" outlineLevel="1"/>
    <col min="21" max="22" width="10.625" style="2" hidden="1" customWidth="1" outlineLevel="1"/>
    <col min="23" max="25" width="0" style="2" hidden="1" customWidth="1" outlineLevel="1"/>
    <col min="26" max="27" width="10.625" style="2" hidden="1" customWidth="1" outlineLevel="1"/>
    <col min="28" max="30" width="0" style="2" hidden="1" customWidth="1" outlineLevel="1"/>
    <col min="31" max="32" width="10.625" style="2" hidden="1" customWidth="1" outlineLevel="1"/>
    <col min="33" max="33" width="9" style="2" collapsed="1"/>
    <col min="34" max="35" width="9" style="2"/>
    <col min="36" max="37" width="10.625" style="2" customWidth="1"/>
    <col min="38" max="38" width="9" style="2"/>
    <col min="39" max="40" width="9" style="4"/>
    <col min="41" max="43" width="9" style="2"/>
    <col min="44" max="45" width="9" style="4"/>
    <col min="46" max="16384" width="9" style="2"/>
  </cols>
  <sheetData>
    <row r="1" spans="1:47" s="16" customFormat="1" ht="27" customHeight="1">
      <c r="A1" s="5" t="s">
        <v>150</v>
      </c>
      <c r="B1" s="5"/>
      <c r="C1" s="5"/>
      <c r="AM1" s="543"/>
      <c r="AN1" s="543"/>
      <c r="AR1" s="543"/>
      <c r="AS1" s="543"/>
    </row>
    <row r="2" spans="1:47" s="201" customFormat="1" ht="12.75" thickBot="1">
      <c r="A2" s="753"/>
      <c r="B2" s="753"/>
      <c r="C2" s="753"/>
      <c r="D2" s="753"/>
      <c r="E2" s="753"/>
      <c r="F2" s="753"/>
      <c r="G2" s="753"/>
      <c r="H2" s="753"/>
      <c r="I2" s="753"/>
      <c r="J2" s="753"/>
      <c r="K2" s="753"/>
      <c r="L2" s="753"/>
      <c r="M2" s="753"/>
      <c r="N2" s="753"/>
      <c r="O2" s="753"/>
      <c r="S2" s="202"/>
      <c r="T2" s="202"/>
      <c r="AK2" s="428"/>
      <c r="AM2" s="4"/>
      <c r="AN2" s="4"/>
      <c r="AQ2" s="513"/>
      <c r="AR2" s="4"/>
      <c r="AS2" s="4"/>
      <c r="AT2" s="513"/>
      <c r="AU2" s="513"/>
    </row>
    <row r="3" spans="1:47" ht="20.100000000000001" customHeight="1" thickBot="1">
      <c r="A3" s="751" t="s">
        <v>122</v>
      </c>
      <c r="B3" s="751" t="s">
        <v>439</v>
      </c>
      <c r="C3" s="747">
        <v>2012</v>
      </c>
      <c r="D3" s="748"/>
      <c r="E3" s="748"/>
      <c r="F3" s="748"/>
      <c r="G3" s="749">
        <v>2012</v>
      </c>
      <c r="H3" s="747">
        <v>2013</v>
      </c>
      <c r="I3" s="748"/>
      <c r="J3" s="748"/>
      <c r="K3" s="748"/>
      <c r="L3" s="749">
        <v>2013</v>
      </c>
      <c r="M3" s="747">
        <v>2014</v>
      </c>
      <c r="N3" s="748"/>
      <c r="O3" s="748"/>
      <c r="P3" s="748"/>
      <c r="Q3" s="749">
        <v>2014</v>
      </c>
      <c r="R3" s="747">
        <v>2015</v>
      </c>
      <c r="S3" s="748"/>
      <c r="T3" s="748"/>
      <c r="U3" s="748"/>
      <c r="V3" s="749">
        <v>2015</v>
      </c>
      <c r="W3" s="747">
        <v>2016</v>
      </c>
      <c r="X3" s="748"/>
      <c r="Y3" s="748"/>
      <c r="Z3" s="748"/>
      <c r="AA3" s="749">
        <v>2016</v>
      </c>
      <c r="AB3" s="747">
        <v>2017</v>
      </c>
      <c r="AC3" s="748"/>
      <c r="AD3" s="748"/>
      <c r="AE3" s="748"/>
      <c r="AF3" s="749">
        <v>2017</v>
      </c>
      <c r="AG3" s="747">
        <v>2018</v>
      </c>
      <c r="AH3" s="748"/>
      <c r="AI3" s="748"/>
      <c r="AJ3" s="748"/>
      <c r="AK3" s="749" t="s">
        <v>229</v>
      </c>
      <c r="AL3" s="747">
        <v>2019</v>
      </c>
      <c r="AM3" s="748"/>
      <c r="AN3" s="748"/>
      <c r="AO3" s="748"/>
      <c r="AP3" s="749">
        <v>2019</v>
      </c>
      <c r="AQ3" s="747">
        <v>2020</v>
      </c>
      <c r="AR3" s="748"/>
      <c r="AS3" s="748"/>
      <c r="AT3" s="748"/>
      <c r="AU3" s="749" t="s">
        <v>235</v>
      </c>
    </row>
    <row r="4" spans="1:47" ht="20.100000000000001" customHeight="1" thickBot="1">
      <c r="A4" s="752"/>
      <c r="B4" s="752"/>
      <c r="C4" s="102" t="s">
        <v>123</v>
      </c>
      <c r="D4" s="103" t="s">
        <v>124</v>
      </c>
      <c r="E4" s="103" t="s">
        <v>125</v>
      </c>
      <c r="F4" s="103" t="s">
        <v>126</v>
      </c>
      <c r="G4" s="750"/>
      <c r="H4" s="102" t="s">
        <v>123</v>
      </c>
      <c r="I4" s="103" t="s">
        <v>124</v>
      </c>
      <c r="J4" s="103" t="s">
        <v>125</v>
      </c>
      <c r="K4" s="103" t="s">
        <v>126</v>
      </c>
      <c r="L4" s="750"/>
      <c r="M4" s="104" t="s">
        <v>123</v>
      </c>
      <c r="N4" s="103" t="s">
        <v>124</v>
      </c>
      <c r="O4" s="103" t="s">
        <v>125</v>
      </c>
      <c r="P4" s="105" t="s">
        <v>126</v>
      </c>
      <c r="Q4" s="750"/>
      <c r="R4" s="104" t="s">
        <v>123</v>
      </c>
      <c r="S4" s="103" t="s">
        <v>124</v>
      </c>
      <c r="T4" s="103" t="s">
        <v>125</v>
      </c>
      <c r="U4" s="105" t="s">
        <v>126</v>
      </c>
      <c r="V4" s="750"/>
      <c r="W4" s="104" t="s">
        <v>123</v>
      </c>
      <c r="X4" s="299" t="s">
        <v>124</v>
      </c>
      <c r="Y4" s="299" t="s">
        <v>125</v>
      </c>
      <c r="Z4" s="105" t="s">
        <v>126</v>
      </c>
      <c r="AA4" s="750"/>
      <c r="AB4" s="104" t="s">
        <v>123</v>
      </c>
      <c r="AC4" s="299" t="s">
        <v>124</v>
      </c>
      <c r="AD4" s="299" t="s">
        <v>125</v>
      </c>
      <c r="AE4" s="105" t="s">
        <v>126</v>
      </c>
      <c r="AF4" s="750"/>
      <c r="AG4" s="104" t="s">
        <v>123</v>
      </c>
      <c r="AH4" s="299" t="s">
        <v>205</v>
      </c>
      <c r="AI4" s="299" t="s">
        <v>226</v>
      </c>
      <c r="AJ4" s="105" t="s">
        <v>227</v>
      </c>
      <c r="AK4" s="750"/>
      <c r="AL4" s="104" t="s">
        <v>228</v>
      </c>
      <c r="AM4" s="299" t="s">
        <v>205</v>
      </c>
      <c r="AN4" s="299" t="s">
        <v>226</v>
      </c>
      <c r="AO4" s="105" t="s">
        <v>227</v>
      </c>
      <c r="AP4" s="750"/>
      <c r="AQ4" s="104" t="s">
        <v>228</v>
      </c>
      <c r="AR4" s="299" t="s">
        <v>205</v>
      </c>
      <c r="AS4" s="299" t="s">
        <v>226</v>
      </c>
      <c r="AT4" s="105" t="s">
        <v>227</v>
      </c>
      <c r="AU4" s="750"/>
    </row>
    <row r="5" spans="1:47" ht="20.100000000000001" customHeight="1" thickBot="1">
      <c r="A5" s="106" t="s">
        <v>127</v>
      </c>
      <c r="B5" s="106" t="s">
        <v>440</v>
      </c>
      <c r="C5" s="107" t="s">
        <v>128</v>
      </c>
      <c r="D5" s="108" t="s">
        <v>128</v>
      </c>
      <c r="E5" s="108" t="s">
        <v>128</v>
      </c>
      <c r="F5" s="108" t="s">
        <v>128</v>
      </c>
      <c r="G5" s="109" t="s">
        <v>128</v>
      </c>
      <c r="H5" s="110">
        <f t="shared" ref="H5:AJ5" si="0">H7+H24</f>
        <v>16348336</v>
      </c>
      <c r="I5" s="111">
        <f t="shared" si="0"/>
        <v>16434266</v>
      </c>
      <c r="J5" s="111">
        <f t="shared" si="0"/>
        <v>16627551</v>
      </c>
      <c r="K5" s="111">
        <f t="shared" si="0"/>
        <v>16447334</v>
      </c>
      <c r="L5" s="109">
        <f t="shared" si="0"/>
        <v>16447334</v>
      </c>
      <c r="M5" s="110">
        <f t="shared" si="0"/>
        <v>16333003</v>
      </c>
      <c r="N5" s="111">
        <f t="shared" si="0"/>
        <v>16250497</v>
      </c>
      <c r="O5" s="111">
        <f t="shared" si="0"/>
        <v>16449992</v>
      </c>
      <c r="P5" s="111">
        <f t="shared" si="0"/>
        <v>16482031</v>
      </c>
      <c r="Q5" s="109">
        <f t="shared" si="0"/>
        <v>16482031</v>
      </c>
      <c r="R5" s="110">
        <f t="shared" si="0"/>
        <v>16429469</v>
      </c>
      <c r="S5" s="111">
        <f t="shared" si="0"/>
        <v>16349090</v>
      </c>
      <c r="T5" s="111">
        <f t="shared" si="0"/>
        <v>16395514</v>
      </c>
      <c r="U5" s="111">
        <f t="shared" si="0"/>
        <v>16469696</v>
      </c>
      <c r="V5" s="305">
        <f t="shared" si="0"/>
        <v>16469696</v>
      </c>
      <c r="W5" s="110">
        <f t="shared" si="0"/>
        <v>16531833</v>
      </c>
      <c r="X5" s="111">
        <f t="shared" si="0"/>
        <v>16711541</v>
      </c>
      <c r="Y5" s="111">
        <f t="shared" si="0"/>
        <v>16545653</v>
      </c>
      <c r="Z5" s="111">
        <f t="shared" si="0"/>
        <v>16524936</v>
      </c>
      <c r="AA5" s="305">
        <f t="shared" si="0"/>
        <v>16524936</v>
      </c>
      <c r="AB5" s="110">
        <f t="shared" si="0"/>
        <v>16216128</v>
      </c>
      <c r="AC5" s="111">
        <f t="shared" si="0"/>
        <v>16273840</v>
      </c>
      <c r="AD5" s="111">
        <f t="shared" si="0"/>
        <v>16410325</v>
      </c>
      <c r="AE5" s="111">
        <f t="shared" si="0"/>
        <v>16522597</v>
      </c>
      <c r="AF5" s="305">
        <f t="shared" si="0"/>
        <v>16522597</v>
      </c>
      <c r="AG5" s="111">
        <f>AG7+AG24</f>
        <v>16579337</v>
      </c>
      <c r="AH5" s="111">
        <f t="shared" si="0"/>
        <v>16698622</v>
      </c>
      <c r="AI5" s="510">
        <f>AI7+AI24</f>
        <v>16851153</v>
      </c>
      <c r="AJ5" s="510">
        <f t="shared" si="0"/>
        <v>16906133</v>
      </c>
      <c r="AK5" s="305">
        <f>AK7+AK24</f>
        <v>16906133</v>
      </c>
      <c r="AL5" s="510">
        <f t="shared" ref="AL5:AP5" si="1">AL7+AL24</f>
        <v>16973770</v>
      </c>
      <c r="AM5" s="510">
        <f t="shared" si="1"/>
        <v>17058921</v>
      </c>
      <c r="AN5" s="510">
        <f t="shared" si="1"/>
        <v>17266759</v>
      </c>
      <c r="AO5" s="510">
        <f t="shared" si="1"/>
        <v>17386252</v>
      </c>
      <c r="AP5" s="305">
        <f t="shared" si="1"/>
        <v>17386252</v>
      </c>
      <c r="AQ5" s="510">
        <f t="shared" ref="AQ5:AU5" si="2">AQ7+AQ24</f>
        <v>17435613</v>
      </c>
      <c r="AR5" s="510">
        <f t="shared" si="2"/>
        <v>0</v>
      </c>
      <c r="AS5" s="510">
        <f t="shared" si="2"/>
        <v>0</v>
      </c>
      <c r="AT5" s="510">
        <f t="shared" si="2"/>
        <v>0</v>
      </c>
      <c r="AU5" s="305">
        <f t="shared" si="2"/>
        <v>0</v>
      </c>
    </row>
    <row r="6" spans="1:47" ht="20.100000000000001" customHeight="1">
      <c r="A6" s="112" t="s">
        <v>129</v>
      </c>
      <c r="B6" s="173" t="s">
        <v>441</v>
      </c>
      <c r="C6" s="113"/>
      <c r="D6" s="114"/>
      <c r="E6" s="114"/>
      <c r="F6" s="114"/>
      <c r="G6" s="115"/>
      <c r="H6" s="116"/>
      <c r="I6" s="114"/>
      <c r="J6" s="114"/>
      <c r="K6" s="114"/>
      <c r="L6" s="115"/>
      <c r="M6" s="117"/>
      <c r="N6" s="114"/>
      <c r="O6" s="114"/>
      <c r="P6" s="114"/>
      <c r="Q6" s="118"/>
      <c r="R6" s="117"/>
      <c r="S6" s="114"/>
      <c r="T6" s="114"/>
      <c r="U6" s="114"/>
      <c r="V6" s="118"/>
      <c r="W6" s="117"/>
      <c r="X6" s="296"/>
      <c r="Y6" s="296"/>
      <c r="Z6" s="114"/>
      <c r="AA6" s="118"/>
      <c r="AB6" s="117"/>
      <c r="AC6" s="296"/>
      <c r="AD6" s="296"/>
      <c r="AE6" s="114"/>
      <c r="AF6" s="118"/>
      <c r="AG6" s="296"/>
      <c r="AH6" s="296"/>
      <c r="AI6" s="515"/>
      <c r="AJ6" s="515"/>
      <c r="AK6" s="118"/>
      <c r="AL6" s="515"/>
      <c r="AM6" s="515"/>
      <c r="AN6" s="515"/>
      <c r="AO6" s="515"/>
      <c r="AP6" s="118"/>
      <c r="AQ6" s="515"/>
      <c r="AR6" s="515"/>
      <c r="AS6" s="515"/>
      <c r="AT6" s="515"/>
      <c r="AU6" s="118"/>
    </row>
    <row r="7" spans="1:47" ht="20.100000000000001" customHeight="1">
      <c r="A7" s="119" t="s">
        <v>130</v>
      </c>
      <c r="B7" s="693" t="s">
        <v>442</v>
      </c>
      <c r="C7" s="120">
        <f>C8+C10+C11</f>
        <v>11532547</v>
      </c>
      <c r="D7" s="121">
        <f t="shared" ref="D7:N7" si="3">D8+D10+D11</f>
        <v>11516833</v>
      </c>
      <c r="E7" s="121">
        <f t="shared" si="3"/>
        <v>11605099</v>
      </c>
      <c r="F7" s="121">
        <f t="shared" si="3"/>
        <v>11735100</v>
      </c>
      <c r="G7" s="122">
        <f>SUM(G8,G10:G11)</f>
        <v>11735100</v>
      </c>
      <c r="H7" s="120">
        <f t="shared" si="3"/>
        <v>11799951</v>
      </c>
      <c r="I7" s="121">
        <f t="shared" si="3"/>
        <v>11868947</v>
      </c>
      <c r="J7" s="121">
        <f t="shared" si="3"/>
        <v>11908422</v>
      </c>
      <c r="K7" s="121">
        <f t="shared" si="3"/>
        <v>11978807</v>
      </c>
      <c r="L7" s="122">
        <f>SUM(L8,L10:L11)</f>
        <v>11978807</v>
      </c>
      <c r="M7" s="120">
        <f t="shared" si="3"/>
        <v>11982678</v>
      </c>
      <c r="N7" s="121">
        <f t="shared" si="3"/>
        <v>12023369</v>
      </c>
      <c r="O7" s="121">
        <f>O8+O10+O11</f>
        <v>12230798</v>
      </c>
      <c r="P7" s="121">
        <f>P8+P10+P11</f>
        <v>12347828</v>
      </c>
      <c r="Q7" s="123">
        <f>Q8+Q10+Q11</f>
        <v>12347828</v>
      </c>
      <c r="R7" s="120">
        <f t="shared" ref="R7:V7" si="4">R8+R10+R11</f>
        <v>12394712</v>
      </c>
      <c r="S7" s="121">
        <f t="shared" si="4"/>
        <v>12377021</v>
      </c>
      <c r="T7" s="121">
        <f t="shared" si="4"/>
        <v>12418707</v>
      </c>
      <c r="U7" s="121">
        <f t="shared" si="4"/>
        <v>12614703</v>
      </c>
      <c r="V7" s="123">
        <f t="shared" si="4"/>
        <v>12614703</v>
      </c>
      <c r="W7" s="120">
        <f t="shared" ref="W7:AF7" si="5">W8+W10+W11</f>
        <v>12744166</v>
      </c>
      <c r="X7" s="121">
        <f t="shared" si="5"/>
        <v>12880725</v>
      </c>
      <c r="Y7" s="121">
        <f t="shared" si="5"/>
        <v>13017749</v>
      </c>
      <c r="Z7" s="121">
        <f t="shared" si="5"/>
        <v>13254598</v>
      </c>
      <c r="AA7" s="123">
        <f t="shared" si="5"/>
        <v>13254598</v>
      </c>
      <c r="AB7" s="120">
        <f t="shared" si="5"/>
        <v>13337038</v>
      </c>
      <c r="AC7" s="121">
        <f t="shared" si="5"/>
        <v>13419539</v>
      </c>
      <c r="AD7" s="121">
        <f t="shared" si="5"/>
        <v>13530164</v>
      </c>
      <c r="AE7" s="121">
        <f t="shared" si="5"/>
        <v>13685044</v>
      </c>
      <c r="AF7" s="123">
        <f t="shared" si="5"/>
        <v>13685044</v>
      </c>
      <c r="AG7" s="121">
        <f t="shared" ref="AG7:AJ7" si="6">AG8+AG10+AG11</f>
        <v>13796153</v>
      </c>
      <c r="AH7" s="433">
        <v>13929804</v>
      </c>
      <c r="AI7" s="433">
        <v>14057045</v>
      </c>
      <c r="AJ7" s="433">
        <f t="shared" si="6"/>
        <v>14259264</v>
      </c>
      <c r="AK7" s="123">
        <f>AK8+AK10+AK11</f>
        <v>14259264</v>
      </c>
      <c r="AL7" s="121">
        <f>SUM(AL8,AL10:AL11)</f>
        <v>14330995</v>
      </c>
      <c r="AM7" s="433">
        <f t="shared" ref="AM7:AP7" si="7">SUM(AM8,AM10:AM11)</f>
        <v>14451610</v>
      </c>
      <c r="AN7" s="433">
        <f t="shared" si="7"/>
        <v>14587869</v>
      </c>
      <c r="AO7" s="433">
        <f t="shared" si="7"/>
        <v>14728758</v>
      </c>
      <c r="AP7" s="123">
        <f t="shared" si="7"/>
        <v>14728758</v>
      </c>
      <c r="AQ7" s="121">
        <f>SUM(AQ8,AQ10:AQ11)</f>
        <v>14796975</v>
      </c>
      <c r="AR7" s="433">
        <f t="shared" ref="AR7:AU7" si="8">SUM(AR8,AR10:AR11)</f>
        <v>0</v>
      </c>
      <c r="AS7" s="433">
        <f t="shared" si="8"/>
        <v>0</v>
      </c>
      <c r="AT7" s="433">
        <f t="shared" si="8"/>
        <v>0</v>
      </c>
      <c r="AU7" s="123">
        <f t="shared" si="8"/>
        <v>0</v>
      </c>
    </row>
    <row r="8" spans="1:47" ht="20.100000000000001" customHeight="1">
      <c r="A8" s="124" t="s">
        <v>131</v>
      </c>
      <c r="B8" s="124" t="s">
        <v>443</v>
      </c>
      <c r="C8" s="125">
        <v>3885022</v>
      </c>
      <c r="D8" s="126">
        <v>3868733</v>
      </c>
      <c r="E8" s="126">
        <v>3921673</v>
      </c>
      <c r="F8" s="126">
        <v>3994875</v>
      </c>
      <c r="G8" s="127">
        <f>F8</f>
        <v>3994875</v>
      </c>
      <c r="H8" s="125">
        <v>4047592</v>
      </c>
      <c r="I8" s="126">
        <v>4127560</v>
      </c>
      <c r="J8" s="126">
        <v>4160343</v>
      </c>
      <c r="K8" s="126">
        <v>4212323</v>
      </c>
      <c r="L8" s="127">
        <f>K8</f>
        <v>4212323</v>
      </c>
      <c r="M8" s="125">
        <v>4236986</v>
      </c>
      <c r="N8" s="126">
        <v>4255544</v>
      </c>
      <c r="O8" s="128">
        <v>4344773</v>
      </c>
      <c r="P8" s="126">
        <v>4391702</v>
      </c>
      <c r="Q8" s="129">
        <v>4391702</v>
      </c>
      <c r="R8" s="125">
        <v>4405464</v>
      </c>
      <c r="S8" s="126">
        <v>4374517</v>
      </c>
      <c r="T8" s="126">
        <v>4396361</v>
      </c>
      <c r="U8" s="126">
        <v>4503320</v>
      </c>
      <c r="V8" s="129">
        <f t="shared" ref="V8:V12" si="9">U8</f>
        <v>4503320</v>
      </c>
      <c r="W8" s="125">
        <v>4560267</v>
      </c>
      <c r="X8" s="126">
        <v>4632246</v>
      </c>
      <c r="Y8" s="126">
        <v>4679114</v>
      </c>
      <c r="Z8" s="126">
        <v>4766429</v>
      </c>
      <c r="AA8" s="129">
        <f t="shared" ref="AA8:AA12" si="10">Z8</f>
        <v>4766429</v>
      </c>
      <c r="AB8" s="125">
        <v>4785947</v>
      </c>
      <c r="AC8" s="126">
        <v>4835534</v>
      </c>
      <c r="AD8" s="126">
        <v>4882505</v>
      </c>
      <c r="AE8" s="126">
        <v>4942640</v>
      </c>
      <c r="AF8" s="129">
        <f t="shared" ref="AF8:AF12" si="11">AE8</f>
        <v>4942640</v>
      </c>
      <c r="AG8" s="126">
        <v>4984391</v>
      </c>
      <c r="AH8" s="434">
        <v>5027520</v>
      </c>
      <c r="AI8" s="434">
        <v>5038210</v>
      </c>
      <c r="AJ8" s="434">
        <v>5098917</v>
      </c>
      <c r="AK8" s="129">
        <v>5098917</v>
      </c>
      <c r="AL8" s="126">
        <v>5077221</v>
      </c>
      <c r="AM8" s="434">
        <v>5058740</v>
      </c>
      <c r="AN8" s="434">
        <v>5033398</v>
      </c>
      <c r="AO8" s="434">
        <v>5038448</v>
      </c>
      <c r="AP8" s="129">
        <f>AO8</f>
        <v>5038448</v>
      </c>
      <c r="AQ8" s="126">
        <v>4992356</v>
      </c>
      <c r="AR8" s="433"/>
      <c r="AS8" s="433"/>
      <c r="AT8" s="433"/>
      <c r="AU8" s="123"/>
    </row>
    <row r="9" spans="1:47" ht="20.100000000000001" customHeight="1">
      <c r="A9" s="130" t="s">
        <v>132</v>
      </c>
      <c r="B9" s="130" t="s">
        <v>132</v>
      </c>
      <c r="C9" s="131">
        <v>394001</v>
      </c>
      <c r="D9" s="132">
        <v>416027</v>
      </c>
      <c r="E9" s="132">
        <v>470578</v>
      </c>
      <c r="F9" s="132">
        <v>510617</v>
      </c>
      <c r="G9" s="133">
        <f t="shared" ref="G9:G11" si="12">F9</f>
        <v>510617</v>
      </c>
      <c r="H9" s="131">
        <v>559997</v>
      </c>
      <c r="I9" s="132">
        <v>633475</v>
      </c>
      <c r="J9" s="132">
        <v>680316</v>
      </c>
      <c r="K9" s="132">
        <v>719935</v>
      </c>
      <c r="L9" s="133">
        <f>K9</f>
        <v>719935</v>
      </c>
      <c r="M9" s="131">
        <v>749319</v>
      </c>
      <c r="N9" s="132">
        <v>771481</v>
      </c>
      <c r="O9" s="134">
        <v>806064</v>
      </c>
      <c r="P9" s="132">
        <v>844809</v>
      </c>
      <c r="Q9" s="135">
        <v>844809</v>
      </c>
      <c r="R9" s="131">
        <v>872628</v>
      </c>
      <c r="S9" s="132">
        <v>886305</v>
      </c>
      <c r="T9" s="132">
        <v>901271</v>
      </c>
      <c r="U9" s="132">
        <v>936307</v>
      </c>
      <c r="V9" s="135">
        <f t="shared" si="9"/>
        <v>936307</v>
      </c>
      <c r="W9" s="131">
        <v>957952</v>
      </c>
      <c r="X9" s="132">
        <v>972771</v>
      </c>
      <c r="Y9" s="132">
        <v>982068</v>
      </c>
      <c r="Z9" s="132">
        <v>1021720</v>
      </c>
      <c r="AA9" s="135">
        <f t="shared" si="10"/>
        <v>1021720</v>
      </c>
      <c r="AB9" s="131">
        <v>1031294</v>
      </c>
      <c r="AC9" s="132">
        <v>1058982</v>
      </c>
      <c r="AD9" s="132">
        <v>1072513</v>
      </c>
      <c r="AE9" s="132">
        <v>1099582</v>
      </c>
      <c r="AF9" s="135">
        <f t="shared" si="11"/>
        <v>1099582</v>
      </c>
      <c r="AG9" s="132">
        <v>1114833</v>
      </c>
      <c r="AH9" s="136">
        <v>1127285</v>
      </c>
      <c r="AI9" s="511">
        <v>1141820</v>
      </c>
      <c r="AJ9" s="511">
        <v>1160353</v>
      </c>
      <c r="AK9" s="135">
        <v>1160353</v>
      </c>
      <c r="AL9" s="132">
        <v>1167983</v>
      </c>
      <c r="AM9" s="511">
        <v>1173866</v>
      </c>
      <c r="AN9" s="511">
        <v>1180891</v>
      </c>
      <c r="AO9" s="511">
        <v>1192984</v>
      </c>
      <c r="AP9" s="135">
        <f t="shared" ref="AP9:AP12" si="13">AO9</f>
        <v>1192984</v>
      </c>
      <c r="AQ9" s="132">
        <v>1187199</v>
      </c>
      <c r="AR9" s="511"/>
      <c r="AS9" s="511"/>
      <c r="AT9" s="511"/>
      <c r="AU9" s="123"/>
    </row>
    <row r="10" spans="1:47" ht="20.100000000000001" customHeight="1">
      <c r="A10" s="124" t="s">
        <v>133</v>
      </c>
      <c r="B10" s="124" t="s">
        <v>444</v>
      </c>
      <c r="C10" s="125">
        <v>6985015</v>
      </c>
      <c r="D10" s="126">
        <v>6978192</v>
      </c>
      <c r="E10" s="126">
        <v>6976594</v>
      </c>
      <c r="F10" s="126">
        <v>6979590</v>
      </c>
      <c r="G10" s="127">
        <f t="shared" si="12"/>
        <v>6979590</v>
      </c>
      <c r="H10" s="125">
        <v>6941638</v>
      </c>
      <c r="I10" s="126">
        <v>6891314</v>
      </c>
      <c r="J10" s="126">
        <v>6834719</v>
      </c>
      <c r="K10" s="126">
        <v>6778675</v>
      </c>
      <c r="L10" s="127">
        <f t="shared" ref="L10:L11" si="14">K10</f>
        <v>6778675</v>
      </c>
      <c r="M10" s="125">
        <v>6713629</v>
      </c>
      <c r="N10" s="126">
        <v>6644687</v>
      </c>
      <c r="O10" s="128">
        <v>6617382</v>
      </c>
      <c r="P10" s="126">
        <v>6587915</v>
      </c>
      <c r="Q10" s="129">
        <v>6587915</v>
      </c>
      <c r="R10" s="125">
        <v>6552365</v>
      </c>
      <c r="S10" s="126">
        <v>6519311</v>
      </c>
      <c r="T10" s="126">
        <v>6505016</v>
      </c>
      <c r="U10" s="126">
        <v>6516643</v>
      </c>
      <c r="V10" s="129">
        <f t="shared" si="9"/>
        <v>6516643</v>
      </c>
      <c r="W10" s="125">
        <v>6536366</v>
      </c>
      <c r="X10" s="126">
        <v>6559223</v>
      </c>
      <c r="Y10" s="126">
        <v>6616579</v>
      </c>
      <c r="Z10" s="126">
        <v>6730427</v>
      </c>
      <c r="AA10" s="129">
        <f t="shared" si="10"/>
        <v>6730427</v>
      </c>
      <c r="AB10" s="125">
        <v>6785002</v>
      </c>
      <c r="AC10" s="126">
        <v>6810999</v>
      </c>
      <c r="AD10" s="126">
        <v>6864787</v>
      </c>
      <c r="AE10" s="126">
        <v>6932676</v>
      </c>
      <c r="AF10" s="129">
        <f t="shared" si="11"/>
        <v>6932676</v>
      </c>
      <c r="AG10" s="126">
        <v>6997850</v>
      </c>
      <c r="AH10" s="434">
        <v>7098239</v>
      </c>
      <c r="AI10" s="434">
        <v>7209240</v>
      </c>
      <c r="AJ10" s="434">
        <v>7345213</v>
      </c>
      <c r="AK10" s="129">
        <v>7345213</v>
      </c>
      <c r="AL10" s="126">
        <v>7452479</v>
      </c>
      <c r="AM10" s="434">
        <v>7597611</v>
      </c>
      <c r="AN10" s="434">
        <v>7752113</v>
      </c>
      <c r="AO10" s="434">
        <v>7894581</v>
      </c>
      <c r="AP10" s="129">
        <f t="shared" si="13"/>
        <v>7894581</v>
      </c>
      <c r="AQ10" s="126">
        <v>8016501</v>
      </c>
      <c r="AR10" s="434"/>
      <c r="AS10" s="434"/>
      <c r="AT10" s="434"/>
      <c r="AU10" s="123"/>
    </row>
    <row r="11" spans="1:47" ht="20.100000000000001" customHeight="1">
      <c r="A11" s="124" t="s">
        <v>134</v>
      </c>
      <c r="B11" s="124" t="s">
        <v>134</v>
      </c>
      <c r="C11" s="125">
        <v>662510</v>
      </c>
      <c r="D11" s="126">
        <v>669908</v>
      </c>
      <c r="E11" s="126">
        <v>706832</v>
      </c>
      <c r="F11" s="126">
        <v>760635</v>
      </c>
      <c r="G11" s="127">
        <f t="shared" si="12"/>
        <v>760635</v>
      </c>
      <c r="H11" s="125">
        <v>810721</v>
      </c>
      <c r="I11" s="126">
        <v>850073</v>
      </c>
      <c r="J11" s="126">
        <v>913360</v>
      </c>
      <c r="K11" s="126">
        <v>987809</v>
      </c>
      <c r="L11" s="127">
        <f t="shared" si="14"/>
        <v>987809</v>
      </c>
      <c r="M11" s="137">
        <v>1032063</v>
      </c>
      <c r="N11" s="138">
        <v>1123138</v>
      </c>
      <c r="O11" s="128">
        <v>1268643</v>
      </c>
      <c r="P11" s="2">
        <v>1368211</v>
      </c>
      <c r="Q11" s="129">
        <v>1368211</v>
      </c>
      <c r="R11" s="137">
        <v>1436883</v>
      </c>
      <c r="S11" s="138">
        <v>1483193</v>
      </c>
      <c r="T11" s="138">
        <v>1517330</v>
      </c>
      <c r="U11" s="126">
        <v>1594740</v>
      </c>
      <c r="V11" s="129">
        <f t="shared" si="9"/>
        <v>1594740</v>
      </c>
      <c r="W11" s="137">
        <v>1647533</v>
      </c>
      <c r="X11" s="138">
        <v>1689256</v>
      </c>
      <c r="Y11" s="138">
        <v>1722056</v>
      </c>
      <c r="Z11" s="126">
        <v>1757742</v>
      </c>
      <c r="AA11" s="129">
        <f t="shared" si="10"/>
        <v>1757742</v>
      </c>
      <c r="AB11" s="137">
        <v>1766089</v>
      </c>
      <c r="AC11" s="138">
        <v>1773006</v>
      </c>
      <c r="AD11" s="138">
        <v>1782872</v>
      </c>
      <c r="AE11" s="138">
        <v>1809728</v>
      </c>
      <c r="AF11" s="129">
        <f t="shared" si="11"/>
        <v>1809728</v>
      </c>
      <c r="AG11" s="138">
        <v>1813912</v>
      </c>
      <c r="AH11" s="435">
        <v>1804045</v>
      </c>
      <c r="AI11" s="435">
        <v>1809595</v>
      </c>
      <c r="AJ11" s="435">
        <v>1815134</v>
      </c>
      <c r="AK11" s="129">
        <v>1815134</v>
      </c>
      <c r="AL11" s="138">
        <v>1801295</v>
      </c>
      <c r="AM11" s="435">
        <v>1795259</v>
      </c>
      <c r="AN11" s="435">
        <v>1802358</v>
      </c>
      <c r="AO11" s="435">
        <v>1795729</v>
      </c>
      <c r="AP11" s="129">
        <f t="shared" si="13"/>
        <v>1795729</v>
      </c>
      <c r="AQ11" s="138">
        <v>1788118</v>
      </c>
      <c r="AR11" s="435"/>
      <c r="AS11" s="435"/>
      <c r="AT11" s="435"/>
      <c r="AU11" s="123"/>
    </row>
    <row r="12" spans="1:47" ht="20.100000000000001" customHeight="1" thickBot="1">
      <c r="A12" s="139" t="s">
        <v>135</v>
      </c>
      <c r="B12" s="167" t="s">
        <v>445</v>
      </c>
      <c r="C12" s="140">
        <v>6282300</v>
      </c>
      <c r="D12" s="141">
        <v>6264412</v>
      </c>
      <c r="E12" s="141">
        <v>6281184</v>
      </c>
      <c r="F12" s="141">
        <v>6313423</v>
      </c>
      <c r="G12" s="142">
        <f>F12</f>
        <v>6313423</v>
      </c>
      <c r="H12" s="140">
        <v>6318321</v>
      </c>
      <c r="I12" s="141">
        <v>6306877</v>
      </c>
      <c r="J12" s="141">
        <v>6285607</v>
      </c>
      <c r="K12" s="141">
        <v>6287658</v>
      </c>
      <c r="L12" s="142">
        <f>K12</f>
        <v>6287658</v>
      </c>
      <c r="M12" s="140">
        <v>6260662</v>
      </c>
      <c r="N12" s="141">
        <v>6221111</v>
      </c>
      <c r="O12" s="143">
        <v>6184775</v>
      </c>
      <c r="P12" s="141">
        <v>6137531</v>
      </c>
      <c r="Q12" s="144">
        <v>6137531</v>
      </c>
      <c r="R12" s="140">
        <v>6068839</v>
      </c>
      <c r="S12" s="141">
        <v>5990051</v>
      </c>
      <c r="T12" s="141">
        <v>5937768</v>
      </c>
      <c r="U12" s="141">
        <v>5916103</v>
      </c>
      <c r="V12" s="144">
        <f t="shared" si="9"/>
        <v>5916103</v>
      </c>
      <c r="W12" s="140">
        <v>5893225</v>
      </c>
      <c r="X12" s="141">
        <v>5862310</v>
      </c>
      <c r="Y12" s="141">
        <v>5860884</v>
      </c>
      <c r="Z12" s="141">
        <v>5882804</v>
      </c>
      <c r="AA12" s="144">
        <f t="shared" si="10"/>
        <v>5882804</v>
      </c>
      <c r="AB12" s="140">
        <v>5847401</v>
      </c>
      <c r="AC12" s="141">
        <v>5819386</v>
      </c>
      <c r="AD12" s="141">
        <v>5791841</v>
      </c>
      <c r="AE12" s="141">
        <v>5776598</v>
      </c>
      <c r="AF12" s="144">
        <f t="shared" si="11"/>
        <v>5776598</v>
      </c>
      <c r="AG12" s="141">
        <v>5743832</v>
      </c>
      <c r="AH12" s="445">
        <v>5724492</v>
      </c>
      <c r="AI12" s="445">
        <v>5712151</v>
      </c>
      <c r="AJ12" s="445">
        <v>5706147</v>
      </c>
      <c r="AK12" s="144">
        <v>5706147</v>
      </c>
      <c r="AL12" s="141">
        <v>5672790</v>
      </c>
      <c r="AM12" s="445">
        <v>5652912</v>
      </c>
      <c r="AN12" s="445">
        <v>5644291</v>
      </c>
      <c r="AO12" s="445">
        <v>5637734</v>
      </c>
      <c r="AP12" s="144">
        <f t="shared" si="13"/>
        <v>5637734</v>
      </c>
      <c r="AQ12" s="141">
        <v>5601300</v>
      </c>
      <c r="AR12" s="445"/>
      <c r="AS12" s="445"/>
      <c r="AT12" s="445"/>
      <c r="AU12" s="144"/>
    </row>
    <row r="13" spans="1:47" s="423" customFormat="1" ht="20.100000000000001" customHeight="1">
      <c r="A13" s="424" t="s">
        <v>202</v>
      </c>
      <c r="B13" s="625" t="s">
        <v>446</v>
      </c>
      <c r="C13" s="145"/>
      <c r="D13" s="146"/>
      <c r="E13" s="146"/>
      <c r="F13" s="146"/>
      <c r="G13" s="147"/>
      <c r="H13" s="145"/>
      <c r="I13" s="146"/>
      <c r="J13" s="146"/>
      <c r="K13" s="146"/>
      <c r="L13" s="147"/>
      <c r="M13" s="145"/>
      <c r="N13" s="146"/>
      <c r="O13" s="148"/>
      <c r="P13" s="146"/>
      <c r="Q13" s="149"/>
      <c r="R13" s="145"/>
      <c r="S13" s="146"/>
      <c r="T13" s="146"/>
      <c r="U13" s="146"/>
      <c r="V13" s="149"/>
      <c r="W13" s="145"/>
      <c r="X13" s="146"/>
      <c r="Y13" s="146"/>
      <c r="Z13" s="146"/>
      <c r="AA13" s="149"/>
      <c r="AB13" s="145">
        <v>80.3</v>
      </c>
      <c r="AC13" s="146">
        <v>81.2</v>
      </c>
      <c r="AD13" s="146">
        <v>80.5</v>
      </c>
      <c r="AE13" s="146">
        <v>81.900000000000006</v>
      </c>
      <c r="AF13" s="149"/>
      <c r="AG13" s="146">
        <v>81.900000000000006</v>
      </c>
      <c r="AH13" s="438">
        <v>82.9</v>
      </c>
      <c r="AI13" s="516">
        <v>84</v>
      </c>
      <c r="AJ13" s="516">
        <v>84</v>
      </c>
      <c r="AK13" s="149">
        <v>83.2</v>
      </c>
      <c r="AL13" s="146">
        <v>82.9</v>
      </c>
      <c r="AM13" s="516">
        <v>83.4</v>
      </c>
      <c r="AN13" s="516">
        <v>84.8</v>
      </c>
      <c r="AO13" s="516">
        <v>85.6</v>
      </c>
      <c r="AP13" s="149">
        <v>84.2</v>
      </c>
      <c r="AQ13" s="146">
        <v>85.4</v>
      </c>
      <c r="AR13" s="516"/>
      <c r="AS13" s="516"/>
      <c r="AT13" s="516"/>
      <c r="AU13" s="149"/>
    </row>
    <row r="14" spans="1:47" s="422" customFormat="1" ht="20.100000000000001" customHeight="1" outlineLevel="1">
      <c r="A14" s="425" t="s">
        <v>203</v>
      </c>
      <c r="B14" s="425" t="s">
        <v>447</v>
      </c>
      <c r="C14" s="419">
        <v>92.5</v>
      </c>
      <c r="D14" s="420">
        <v>94.4</v>
      </c>
      <c r="E14" s="420">
        <v>93.8</v>
      </c>
      <c r="F14" s="420">
        <v>93.8</v>
      </c>
      <c r="G14" s="421">
        <v>93.6</v>
      </c>
      <c r="H14" s="419">
        <v>89.1</v>
      </c>
      <c r="I14" s="420">
        <v>90.3</v>
      </c>
      <c r="J14" s="420">
        <v>87.6</v>
      </c>
      <c r="K14" s="420">
        <v>87.1</v>
      </c>
      <c r="L14" s="421">
        <v>88.5</v>
      </c>
      <c r="M14" s="419">
        <v>84.8</v>
      </c>
      <c r="N14" s="420">
        <v>85.3</v>
      </c>
      <c r="O14" s="148">
        <v>86.5</v>
      </c>
      <c r="P14" s="420">
        <v>87.2</v>
      </c>
      <c r="Q14" s="421">
        <v>85.9</v>
      </c>
      <c r="R14" s="419">
        <v>85.8</v>
      </c>
      <c r="S14" s="420">
        <v>87</v>
      </c>
      <c r="T14" s="420">
        <v>88.1</v>
      </c>
      <c r="U14" s="420">
        <v>88.3</v>
      </c>
      <c r="V14" s="421">
        <v>87.3</v>
      </c>
      <c r="W14" s="419">
        <v>87</v>
      </c>
      <c r="X14" s="420">
        <v>88.4</v>
      </c>
      <c r="Y14" s="420">
        <v>88.6</v>
      </c>
      <c r="Z14" s="420">
        <v>90.7</v>
      </c>
      <c r="AA14" s="421">
        <v>88.7</v>
      </c>
      <c r="AB14" s="419">
        <v>89.1</v>
      </c>
      <c r="AC14" s="427">
        <v>89.6</v>
      </c>
      <c r="AD14" s="420">
        <v>88.4</v>
      </c>
      <c r="AE14" s="420">
        <v>89</v>
      </c>
      <c r="AF14" s="421">
        <v>89</v>
      </c>
      <c r="AG14" s="419">
        <v>88.7</v>
      </c>
      <c r="AH14" s="427">
        <v>89.6</v>
      </c>
      <c r="AI14" s="517">
        <v>90.1</v>
      </c>
      <c r="AJ14" s="517">
        <v>90.5</v>
      </c>
      <c r="AK14" s="421">
        <v>89.7</v>
      </c>
      <c r="AL14" s="419"/>
      <c r="AM14" s="517"/>
      <c r="AN14" s="517"/>
      <c r="AO14" s="517"/>
      <c r="AP14" s="421"/>
      <c r="AQ14" s="419"/>
      <c r="AR14" s="517"/>
      <c r="AS14" s="517"/>
      <c r="AT14" s="517"/>
      <c r="AU14" s="421"/>
    </row>
    <row r="15" spans="1:47" ht="20.100000000000001" customHeight="1">
      <c r="A15" s="150" t="s">
        <v>136</v>
      </c>
      <c r="B15" s="150" t="s">
        <v>448</v>
      </c>
      <c r="C15" s="151" t="s">
        <v>128</v>
      </c>
      <c r="D15" s="152" t="s">
        <v>128</v>
      </c>
      <c r="E15" s="152" t="s">
        <v>128</v>
      </c>
      <c r="F15" s="153">
        <v>8.4252884188563901E-2</v>
      </c>
      <c r="G15" s="154">
        <f>F15</f>
        <v>8.4252884188563901E-2</v>
      </c>
      <c r="H15" s="155">
        <v>8.6500864834109098E-2</v>
      </c>
      <c r="I15" s="153">
        <v>8.7995678097648605E-2</v>
      </c>
      <c r="J15" s="153">
        <v>8.95665783401738E-2</v>
      </c>
      <c r="K15" s="153">
        <v>9.1612274770678806E-2</v>
      </c>
      <c r="L15" s="154">
        <f>K15</f>
        <v>9.1612274770678806E-2</v>
      </c>
      <c r="M15" s="155">
        <v>9.0641340484564806E-2</v>
      </c>
      <c r="N15" s="153">
        <v>8.7627794752018207E-2</v>
      </c>
      <c r="O15" s="156">
        <f>8.8%</f>
        <v>8.8000000000000009E-2</v>
      </c>
      <c r="P15" s="153">
        <v>9.0976359886998898E-2</v>
      </c>
      <c r="Q15" s="157">
        <v>9.0999999999999998E-2</v>
      </c>
      <c r="R15" s="155">
        <v>9.5000000000000001E-2</v>
      </c>
      <c r="S15" s="153">
        <v>0.10100000000000001</v>
      </c>
      <c r="T15" s="153">
        <v>0.10199999999999999</v>
      </c>
      <c r="U15" s="153">
        <v>0.1</v>
      </c>
      <c r="V15" s="157">
        <v>0.1</v>
      </c>
      <c r="W15" s="155">
        <v>9.8000000000000004E-2</v>
      </c>
      <c r="X15" s="153">
        <v>0.09</v>
      </c>
      <c r="Y15" s="153">
        <v>8.5000000000000006E-2</v>
      </c>
      <c r="Z15" s="153">
        <v>8.3000000000000004E-2</v>
      </c>
      <c r="AA15" s="157">
        <v>8.3000000000000004E-2</v>
      </c>
      <c r="AB15" s="155">
        <v>8.5000000000000006E-2</v>
      </c>
      <c r="AC15" s="153">
        <v>8.5999999999999993E-2</v>
      </c>
      <c r="AD15" s="153">
        <v>8.7999999999999995E-2</v>
      </c>
      <c r="AE15" s="153">
        <v>8.7999999999999995E-2</v>
      </c>
      <c r="AF15" s="157">
        <v>8.7999999999999995E-2</v>
      </c>
      <c r="AG15" s="153">
        <v>8.5000000000000006E-2</v>
      </c>
      <c r="AH15" s="436">
        <v>8.3000000000000004E-2</v>
      </c>
      <c r="AI15" s="436">
        <v>7.9000000000000001E-2</v>
      </c>
      <c r="AJ15" s="436">
        <v>7.5999999999999998E-2</v>
      </c>
      <c r="AK15" s="157">
        <v>7.5999999999999998E-2</v>
      </c>
      <c r="AL15" s="153">
        <v>7.1999999999999995E-2</v>
      </c>
      <c r="AM15" s="436">
        <v>7.0000000000000007E-2</v>
      </c>
      <c r="AN15" s="436">
        <v>6.8000000000000005E-2</v>
      </c>
      <c r="AO15" s="436">
        <v>6.4000000000000001E-2</v>
      </c>
      <c r="AP15" s="157">
        <f>AO15:AO16</f>
        <v>6.4000000000000001E-2</v>
      </c>
      <c r="AQ15" s="153">
        <v>6.6000000000000003E-2</v>
      </c>
      <c r="AR15" s="436"/>
      <c r="AS15" s="436"/>
      <c r="AT15" s="436"/>
      <c r="AU15" s="157"/>
    </row>
    <row r="16" spans="1:47" ht="20.100000000000001" customHeight="1" thickBot="1">
      <c r="A16" s="150" t="s">
        <v>137</v>
      </c>
      <c r="B16" s="150" t="s">
        <v>449</v>
      </c>
      <c r="C16" s="158">
        <f t="shared" ref="C16:N16" si="15">C7/C12</f>
        <v>1.8357205163713926</v>
      </c>
      <c r="D16" s="159">
        <f t="shared" si="15"/>
        <v>1.838453952262399</v>
      </c>
      <c r="E16" s="159">
        <f t="shared" si="15"/>
        <v>1.8475973638091163</v>
      </c>
      <c r="F16" s="159">
        <f t="shared" si="15"/>
        <v>1.858753959619053</v>
      </c>
      <c r="G16" s="160">
        <f t="shared" si="15"/>
        <v>1.858753959619053</v>
      </c>
      <c r="H16" s="158">
        <f t="shared" si="15"/>
        <v>1.8675770034475931</v>
      </c>
      <c r="I16" s="159">
        <f t="shared" si="15"/>
        <v>1.8819055770391591</v>
      </c>
      <c r="J16" s="159">
        <f t="shared" si="15"/>
        <v>1.8945540184106324</v>
      </c>
      <c r="K16" s="159">
        <f t="shared" si="15"/>
        <v>1.9051301772456453</v>
      </c>
      <c r="L16" s="160">
        <f t="shared" si="15"/>
        <v>1.9051301772456453</v>
      </c>
      <c r="M16" s="158">
        <f t="shared" si="15"/>
        <v>1.9139634115369908</v>
      </c>
      <c r="N16" s="159">
        <f t="shared" si="15"/>
        <v>1.9326723152825918</v>
      </c>
      <c r="O16" s="161">
        <v>1.98</v>
      </c>
      <c r="P16" s="159">
        <v>2.0099999999999998</v>
      </c>
      <c r="Q16" s="160">
        <v>2.0099999999999998</v>
      </c>
      <c r="R16" s="158">
        <f>R7/R12</f>
        <v>2.0423530760990696</v>
      </c>
      <c r="S16" s="159">
        <v>2.0699999999999998</v>
      </c>
      <c r="T16" s="159">
        <v>2.09</v>
      </c>
      <c r="U16" s="159">
        <v>2.13</v>
      </c>
      <c r="V16" s="160">
        <v>2.13</v>
      </c>
      <c r="W16" s="158">
        <v>2.16</v>
      </c>
      <c r="X16" s="159">
        <v>2.2000000000000002</v>
      </c>
      <c r="Y16" s="159">
        <v>2.2200000000000002</v>
      </c>
      <c r="Z16" s="159">
        <v>2.25</v>
      </c>
      <c r="AA16" s="160">
        <f>Z16</f>
        <v>2.25</v>
      </c>
      <c r="AB16" s="158">
        <v>2.2799999999999998</v>
      </c>
      <c r="AC16" s="159">
        <v>2.31</v>
      </c>
      <c r="AD16" s="159">
        <v>2.34</v>
      </c>
      <c r="AE16" s="159">
        <v>2.37</v>
      </c>
      <c r="AF16" s="160">
        <v>2.37</v>
      </c>
      <c r="AG16" s="159">
        <v>2.4</v>
      </c>
      <c r="AH16" s="437">
        <v>2.4300000000000002</v>
      </c>
      <c r="AI16" s="437">
        <v>2.46</v>
      </c>
      <c r="AJ16" s="437">
        <v>2.5</v>
      </c>
      <c r="AK16" s="160">
        <v>2.5</v>
      </c>
      <c r="AL16" s="159">
        <v>2.5299999999999998</v>
      </c>
      <c r="AM16" s="437">
        <v>2.56</v>
      </c>
      <c r="AN16" s="437">
        <v>2.58</v>
      </c>
      <c r="AO16" s="437">
        <v>2.61</v>
      </c>
      <c r="AP16" s="160">
        <f>AO16</f>
        <v>2.61</v>
      </c>
      <c r="AQ16" s="159">
        <v>2.64</v>
      </c>
      <c r="AR16" s="437"/>
      <c r="AS16" s="437"/>
      <c r="AT16" s="437"/>
      <c r="AU16" s="160"/>
    </row>
    <row r="17" spans="1:47" ht="20.100000000000001" customHeight="1">
      <c r="A17" s="162" t="s">
        <v>138</v>
      </c>
      <c r="B17" s="162" t="s">
        <v>450</v>
      </c>
      <c r="C17" s="163">
        <f>C18+C20+C21</f>
        <v>11497022</v>
      </c>
      <c r="D17" s="164">
        <f t="shared" ref="D17:N17" si="16">D18+D20+D21</f>
        <v>11521707</v>
      </c>
      <c r="E17" s="164">
        <f t="shared" si="16"/>
        <v>11558288</v>
      </c>
      <c r="F17" s="164">
        <f t="shared" si="16"/>
        <v>11659474</v>
      </c>
      <c r="G17" s="122">
        <f t="shared" si="16"/>
        <v>11559122.75</v>
      </c>
      <c r="H17" s="163">
        <f t="shared" si="16"/>
        <v>11772318</v>
      </c>
      <c r="I17" s="164">
        <f t="shared" si="16"/>
        <v>11846507</v>
      </c>
      <c r="J17" s="164">
        <f t="shared" si="16"/>
        <v>11884574</v>
      </c>
      <c r="K17" s="164">
        <f t="shared" si="16"/>
        <v>11924710</v>
      </c>
      <c r="L17" s="122">
        <f t="shared" si="16"/>
        <v>11857027.25</v>
      </c>
      <c r="M17" s="163">
        <f t="shared" si="16"/>
        <v>11986199</v>
      </c>
      <c r="N17" s="164">
        <f t="shared" si="16"/>
        <v>11981389</v>
      </c>
      <c r="O17" s="164">
        <f>O18+O20+O21</f>
        <v>12125363</v>
      </c>
      <c r="P17" s="164">
        <f>P18+P20+P21</f>
        <v>12272311</v>
      </c>
      <c r="Q17" s="123">
        <f>Q18+Q20+Q21</f>
        <v>12091316</v>
      </c>
      <c r="R17" s="163">
        <f t="shared" ref="R17:V17" si="17">R18+R20+R21</f>
        <v>12376603</v>
      </c>
      <c r="S17" s="164">
        <f t="shared" si="17"/>
        <v>12391326</v>
      </c>
      <c r="T17" s="164">
        <f t="shared" si="17"/>
        <v>12378586</v>
      </c>
      <c r="U17" s="164">
        <f t="shared" si="17"/>
        <v>12496080</v>
      </c>
      <c r="V17" s="123">
        <f t="shared" si="17"/>
        <v>12410649</v>
      </c>
      <c r="W17" s="163">
        <f t="shared" ref="W17:AF17" si="18">W18+W20+W21</f>
        <v>12675864</v>
      </c>
      <c r="X17" s="164">
        <f t="shared" si="18"/>
        <v>12809438</v>
      </c>
      <c r="Y17" s="164">
        <f t="shared" si="18"/>
        <v>12940680</v>
      </c>
      <c r="Z17" s="164">
        <f t="shared" si="18"/>
        <v>13119033</v>
      </c>
      <c r="AA17" s="123">
        <f t="shared" si="18"/>
        <v>12886254</v>
      </c>
      <c r="AB17" s="163">
        <f t="shared" si="18"/>
        <v>13313971</v>
      </c>
      <c r="AC17" s="164">
        <f t="shared" si="18"/>
        <v>13379081</v>
      </c>
      <c r="AD17" s="164">
        <f t="shared" si="18"/>
        <v>13467835</v>
      </c>
      <c r="AE17" s="164">
        <f t="shared" si="18"/>
        <v>13596202</v>
      </c>
      <c r="AF17" s="123">
        <f t="shared" si="18"/>
        <v>13439272</v>
      </c>
      <c r="AG17" s="164">
        <f t="shared" ref="AG17:AJ17" si="19">AG18+AG20+AG21</f>
        <v>13741811</v>
      </c>
      <c r="AH17" s="442">
        <f t="shared" si="19"/>
        <v>13858205</v>
      </c>
      <c r="AI17" s="442">
        <f t="shared" si="19"/>
        <v>13995952</v>
      </c>
      <c r="AJ17" s="442">
        <f t="shared" si="19"/>
        <v>14159632</v>
      </c>
      <c r="AK17" s="123">
        <f>AK18+AK20+AK21</f>
        <v>13938900</v>
      </c>
      <c r="AL17" s="164">
        <f>AL18+AL20+AL21</f>
        <v>14283823</v>
      </c>
      <c r="AM17" s="164">
        <f t="shared" ref="AM17:AP17" si="20">AM18+AM20+AM21</f>
        <v>14381445</v>
      </c>
      <c r="AN17" s="164">
        <f t="shared" si="20"/>
        <v>14515058</v>
      </c>
      <c r="AO17" s="164">
        <f t="shared" si="20"/>
        <v>14660255</v>
      </c>
      <c r="AP17" s="123">
        <f t="shared" si="20"/>
        <v>14460145</v>
      </c>
      <c r="AQ17" s="164">
        <f>AQ18+AQ20+AQ21</f>
        <v>14774076</v>
      </c>
      <c r="AR17" s="164">
        <f t="shared" ref="AR17:AU17" si="21">AR18+AR20+AR21</f>
        <v>0</v>
      </c>
      <c r="AS17" s="164">
        <f t="shared" si="21"/>
        <v>0</v>
      </c>
      <c r="AT17" s="164">
        <f t="shared" si="21"/>
        <v>0</v>
      </c>
      <c r="AU17" s="123">
        <f t="shared" si="21"/>
        <v>0</v>
      </c>
    </row>
    <row r="18" spans="1:47" ht="20.100000000000001" customHeight="1">
      <c r="A18" s="124" t="s">
        <v>131</v>
      </c>
      <c r="B18" s="124" t="s">
        <v>443</v>
      </c>
      <c r="C18" s="125">
        <v>3858338</v>
      </c>
      <c r="D18" s="126">
        <v>3879834</v>
      </c>
      <c r="E18" s="126">
        <v>3894623</v>
      </c>
      <c r="F18" s="126">
        <v>3955082</v>
      </c>
      <c r="G18" s="127">
        <f>AVERAGE(C18:F18)</f>
        <v>3896969.25</v>
      </c>
      <c r="H18" s="125">
        <v>4018307</v>
      </c>
      <c r="I18" s="126">
        <v>4098051</v>
      </c>
      <c r="J18" s="126">
        <v>4144131</v>
      </c>
      <c r="K18" s="126">
        <v>4175145</v>
      </c>
      <c r="L18" s="127">
        <f>AVERAGE(H18:K18)</f>
        <v>4108908.5</v>
      </c>
      <c r="M18" s="125">
        <v>4227450</v>
      </c>
      <c r="N18" s="126">
        <v>4243880</v>
      </c>
      <c r="O18" s="128">
        <v>4301558</v>
      </c>
      <c r="P18" s="126">
        <v>4361890</v>
      </c>
      <c r="Q18" s="129">
        <v>4283695</v>
      </c>
      <c r="R18" s="125">
        <v>4403541</v>
      </c>
      <c r="S18" s="126">
        <v>4397999</v>
      </c>
      <c r="T18" s="126">
        <v>4376405</v>
      </c>
      <c r="U18" s="126">
        <v>4441918</v>
      </c>
      <c r="V18" s="129">
        <v>4404966</v>
      </c>
      <c r="W18" s="125">
        <v>4532806</v>
      </c>
      <c r="X18" s="126">
        <v>4595313</v>
      </c>
      <c r="Y18" s="126">
        <v>4654591</v>
      </c>
      <c r="Z18" s="126">
        <v>4712813</v>
      </c>
      <c r="AA18" s="129">
        <v>4623881</v>
      </c>
      <c r="AB18" s="125">
        <v>4781680</v>
      </c>
      <c r="AC18" s="126">
        <v>4817543</v>
      </c>
      <c r="AD18" s="126">
        <v>4856979</v>
      </c>
      <c r="AE18" s="126">
        <v>4905839</v>
      </c>
      <c r="AF18" s="129">
        <v>4840510</v>
      </c>
      <c r="AG18" s="126">
        <v>4963830</v>
      </c>
      <c r="AH18" s="434">
        <v>5013604</v>
      </c>
      <c r="AI18" s="434">
        <v>5029344</v>
      </c>
      <c r="AJ18" s="434">
        <v>5070219</v>
      </c>
      <c r="AK18" s="129">
        <v>5019249</v>
      </c>
      <c r="AL18" s="126">
        <v>5090723</v>
      </c>
      <c r="AM18" s="434">
        <v>5066146</v>
      </c>
      <c r="AN18" s="434">
        <v>5036833</v>
      </c>
      <c r="AO18" s="434">
        <v>5039351</v>
      </c>
      <c r="AP18" s="129">
        <v>5058263</v>
      </c>
      <c r="AQ18" s="126">
        <v>5018607</v>
      </c>
      <c r="AR18" s="434"/>
      <c r="AS18" s="434"/>
      <c r="AT18" s="434"/>
      <c r="AU18" s="129"/>
    </row>
    <row r="19" spans="1:47" ht="20.100000000000001" customHeight="1">
      <c r="A19" s="130" t="s">
        <v>132</v>
      </c>
      <c r="B19" s="130" t="s">
        <v>132</v>
      </c>
      <c r="C19" s="131">
        <v>358652</v>
      </c>
      <c r="D19" s="132">
        <v>406943</v>
      </c>
      <c r="E19" s="136">
        <v>443743.5</v>
      </c>
      <c r="F19" s="132">
        <v>494506</v>
      </c>
      <c r="G19" s="133">
        <f>AVERAGE(C19:F19)</f>
        <v>425961.125</v>
      </c>
      <c r="H19" s="131">
        <v>535271</v>
      </c>
      <c r="I19" s="132">
        <v>600411</v>
      </c>
      <c r="J19" s="132">
        <v>658475</v>
      </c>
      <c r="K19" s="132">
        <v>697978</v>
      </c>
      <c r="L19" s="133">
        <f t="shared" ref="L19:L21" si="22">AVERAGE(H19:K19)</f>
        <v>623033.75</v>
      </c>
      <c r="M19" s="165">
        <v>736315</v>
      </c>
      <c r="N19" s="132">
        <v>759922</v>
      </c>
      <c r="O19" s="134">
        <v>787736</v>
      </c>
      <c r="P19" s="132">
        <v>822568</v>
      </c>
      <c r="Q19" s="135">
        <v>776635</v>
      </c>
      <c r="R19" s="165">
        <v>860827</v>
      </c>
      <c r="S19" s="132">
        <v>881296</v>
      </c>
      <c r="T19" s="132">
        <v>893001</v>
      </c>
      <c r="U19" s="132">
        <v>915940</v>
      </c>
      <c r="V19" s="135">
        <v>887766</v>
      </c>
      <c r="W19" s="165">
        <v>948366</v>
      </c>
      <c r="X19" s="297">
        <v>964197</v>
      </c>
      <c r="Y19" s="297">
        <v>977142</v>
      </c>
      <c r="Z19" s="132">
        <v>995820</v>
      </c>
      <c r="AA19" s="135">
        <v>971381</v>
      </c>
      <c r="AB19" s="165">
        <v>1029294</v>
      </c>
      <c r="AC19" s="126">
        <v>1051692</v>
      </c>
      <c r="AD19" s="297">
        <v>1064544</v>
      </c>
      <c r="AE19" s="297">
        <v>1082951</v>
      </c>
      <c r="AF19" s="135">
        <v>1057120</v>
      </c>
      <c r="AG19" s="297">
        <v>1108316</v>
      </c>
      <c r="AH19" s="439">
        <v>1121333</v>
      </c>
      <c r="AI19" s="439">
        <v>1134327</v>
      </c>
      <c r="AJ19" s="439">
        <v>1149795</v>
      </c>
      <c r="AK19" s="135">
        <v>1128443</v>
      </c>
      <c r="AL19" s="297">
        <v>1164591</v>
      </c>
      <c r="AM19" s="439">
        <v>1171425</v>
      </c>
      <c r="AN19" s="439">
        <v>1177222</v>
      </c>
      <c r="AO19" s="439">
        <v>1185919</v>
      </c>
      <c r="AP19" s="135">
        <v>1174789</v>
      </c>
      <c r="AQ19" s="297">
        <v>1193663</v>
      </c>
      <c r="AR19" s="439"/>
      <c r="AS19" s="439"/>
      <c r="AT19" s="439"/>
      <c r="AU19" s="135"/>
    </row>
    <row r="20" spans="1:47" ht="20.100000000000001" customHeight="1">
      <c r="A20" s="124" t="s">
        <v>133</v>
      </c>
      <c r="B20" s="124" t="s">
        <v>444</v>
      </c>
      <c r="C20" s="125">
        <v>6986951</v>
      </c>
      <c r="D20" s="126">
        <v>6977393</v>
      </c>
      <c r="E20" s="126">
        <v>6978772</v>
      </c>
      <c r="F20" s="126">
        <v>6974525</v>
      </c>
      <c r="G20" s="127">
        <f t="shared" ref="G20:G21" si="23">AVERAGE(C20:F20)</f>
        <v>6979410.25</v>
      </c>
      <c r="H20" s="125">
        <v>6965606</v>
      </c>
      <c r="I20" s="126">
        <v>6917102</v>
      </c>
      <c r="J20" s="126">
        <v>6862047</v>
      </c>
      <c r="K20" s="126">
        <v>6801845</v>
      </c>
      <c r="L20" s="127">
        <f t="shared" si="22"/>
        <v>6886650</v>
      </c>
      <c r="M20" s="166">
        <v>6749396</v>
      </c>
      <c r="N20" s="126">
        <v>6670820</v>
      </c>
      <c r="O20" s="128">
        <v>6628199</v>
      </c>
      <c r="P20" s="126">
        <v>6597742</v>
      </c>
      <c r="Q20" s="129">
        <v>6661539</v>
      </c>
      <c r="R20" s="166">
        <v>6570344</v>
      </c>
      <c r="S20" s="126">
        <v>6532488</v>
      </c>
      <c r="T20" s="126">
        <v>6508391</v>
      </c>
      <c r="U20" s="126">
        <v>6502872</v>
      </c>
      <c r="V20" s="129">
        <v>6528524</v>
      </c>
      <c r="W20" s="166">
        <v>6523316</v>
      </c>
      <c r="X20" s="298">
        <v>6546774</v>
      </c>
      <c r="Y20" s="298">
        <v>6579908</v>
      </c>
      <c r="Z20" s="126">
        <v>6667869</v>
      </c>
      <c r="AA20" s="129">
        <v>6579467</v>
      </c>
      <c r="AB20" s="166">
        <v>6769379</v>
      </c>
      <c r="AC20" s="126">
        <v>6790804</v>
      </c>
      <c r="AD20" s="298">
        <v>6836282</v>
      </c>
      <c r="AE20" s="298">
        <v>6894295</v>
      </c>
      <c r="AF20" s="129">
        <v>6822690</v>
      </c>
      <c r="AG20" s="298">
        <v>6963584</v>
      </c>
      <c r="AH20" s="440">
        <v>7036346</v>
      </c>
      <c r="AI20" s="440">
        <v>7161022</v>
      </c>
      <c r="AJ20" s="440">
        <v>7276732</v>
      </c>
      <c r="AK20" s="129">
        <v>7109421</v>
      </c>
      <c r="AL20" s="298">
        <v>7384746</v>
      </c>
      <c r="AM20" s="440">
        <v>7519107</v>
      </c>
      <c r="AN20" s="440">
        <v>7679532</v>
      </c>
      <c r="AO20" s="440">
        <v>7823962</v>
      </c>
      <c r="AP20" s="129">
        <v>7601837</v>
      </c>
      <c r="AQ20" s="298">
        <v>7964689</v>
      </c>
      <c r="AR20" s="440"/>
      <c r="AS20" s="440"/>
      <c r="AT20" s="440"/>
      <c r="AU20" s="129"/>
    </row>
    <row r="21" spans="1:47" ht="20.100000000000001" customHeight="1">
      <c r="A21" s="124" t="s">
        <v>134</v>
      </c>
      <c r="B21" s="124" t="s">
        <v>134</v>
      </c>
      <c r="C21" s="125">
        <v>651733</v>
      </c>
      <c r="D21" s="126">
        <v>664480</v>
      </c>
      <c r="E21" s="126">
        <v>684893</v>
      </c>
      <c r="F21" s="126">
        <v>729867</v>
      </c>
      <c r="G21" s="127">
        <f t="shared" si="23"/>
        <v>682743.25</v>
      </c>
      <c r="H21" s="125">
        <v>788405</v>
      </c>
      <c r="I21" s="126">
        <v>831354</v>
      </c>
      <c r="J21" s="126">
        <v>878396</v>
      </c>
      <c r="K21" s="126">
        <v>947720</v>
      </c>
      <c r="L21" s="127">
        <f t="shared" si="22"/>
        <v>861468.75</v>
      </c>
      <c r="M21" s="166">
        <v>1009353</v>
      </c>
      <c r="N21" s="126">
        <v>1066689</v>
      </c>
      <c r="O21" s="128">
        <v>1195606</v>
      </c>
      <c r="P21" s="126">
        <v>1312679</v>
      </c>
      <c r="Q21" s="129">
        <v>1146082</v>
      </c>
      <c r="R21" s="166">
        <v>1402718</v>
      </c>
      <c r="S21" s="126">
        <v>1460839</v>
      </c>
      <c r="T21" s="126">
        <v>1493790</v>
      </c>
      <c r="U21" s="126">
        <v>1551290</v>
      </c>
      <c r="V21" s="129">
        <v>1477159</v>
      </c>
      <c r="W21" s="166">
        <v>1619742</v>
      </c>
      <c r="X21" s="298">
        <v>1667351</v>
      </c>
      <c r="Y21" s="298">
        <v>1706181</v>
      </c>
      <c r="Z21" s="126">
        <v>1738351</v>
      </c>
      <c r="AA21" s="129">
        <v>1682906</v>
      </c>
      <c r="AB21" s="166">
        <v>1762912</v>
      </c>
      <c r="AC21" s="126">
        <v>1770734</v>
      </c>
      <c r="AD21" s="298">
        <v>1774574</v>
      </c>
      <c r="AE21" s="298">
        <v>1796068</v>
      </c>
      <c r="AF21" s="129">
        <v>1776072</v>
      </c>
      <c r="AG21" s="298">
        <v>1814397</v>
      </c>
      <c r="AH21" s="440">
        <v>1808255</v>
      </c>
      <c r="AI21" s="440">
        <v>1805586</v>
      </c>
      <c r="AJ21" s="440">
        <v>1812681</v>
      </c>
      <c r="AK21" s="129">
        <v>1810230</v>
      </c>
      <c r="AL21" s="298">
        <v>1808354</v>
      </c>
      <c r="AM21" s="440">
        <v>1796192</v>
      </c>
      <c r="AN21" s="440">
        <v>1798693</v>
      </c>
      <c r="AO21" s="440">
        <v>1796942</v>
      </c>
      <c r="AP21" s="129">
        <v>1800045</v>
      </c>
      <c r="AQ21" s="298">
        <v>1790780</v>
      </c>
      <c r="AR21" s="440"/>
      <c r="AS21" s="440"/>
      <c r="AT21" s="440"/>
      <c r="AU21" s="129"/>
    </row>
    <row r="22" spans="1:47" ht="20.100000000000001" customHeight="1" thickBot="1">
      <c r="A22" s="167" t="s">
        <v>139</v>
      </c>
      <c r="B22" s="167" t="s">
        <v>451</v>
      </c>
      <c r="C22" s="168">
        <v>6288609</v>
      </c>
      <c r="D22" s="169">
        <v>6272029</v>
      </c>
      <c r="E22" s="169">
        <v>6271838</v>
      </c>
      <c r="F22" s="169">
        <v>6291791</v>
      </c>
      <c r="G22" s="170">
        <f>AVERAGE(C22:F22)</f>
        <v>6281066.75</v>
      </c>
      <c r="H22" s="171">
        <v>6316275</v>
      </c>
      <c r="I22" s="169">
        <v>6317333</v>
      </c>
      <c r="J22" s="169">
        <v>6293472</v>
      </c>
      <c r="K22" s="169">
        <v>6279979</v>
      </c>
      <c r="L22" s="170">
        <f>AVERAGE(H22:K22)</f>
        <v>6301764.75</v>
      </c>
      <c r="M22" s="171">
        <v>6274951</v>
      </c>
      <c r="N22" s="169">
        <v>6242450</v>
      </c>
      <c r="O22" s="143">
        <v>6201335</v>
      </c>
      <c r="P22" s="169">
        <v>6159902.666666667</v>
      </c>
      <c r="Q22" s="172">
        <v>6219660</v>
      </c>
      <c r="R22" s="171">
        <v>6105250</v>
      </c>
      <c r="S22" s="169">
        <v>6031638</v>
      </c>
      <c r="T22" s="169">
        <v>5960463</v>
      </c>
      <c r="U22" s="169">
        <v>5922397</v>
      </c>
      <c r="V22" s="172">
        <v>6004937</v>
      </c>
      <c r="W22" s="171">
        <v>5902526</v>
      </c>
      <c r="X22" s="169">
        <v>5876458</v>
      </c>
      <c r="Y22" s="169">
        <v>5858477</v>
      </c>
      <c r="Z22" s="169">
        <v>5868541</v>
      </c>
      <c r="AA22" s="172">
        <v>5876500</v>
      </c>
      <c r="AB22" s="171">
        <v>5872517</v>
      </c>
      <c r="AC22" s="141">
        <v>5828405</v>
      </c>
      <c r="AD22" s="169">
        <v>5803517</v>
      </c>
      <c r="AE22" s="169">
        <v>5781207</v>
      </c>
      <c r="AF22" s="172">
        <v>5821411</v>
      </c>
      <c r="AG22" s="169">
        <v>5760338</v>
      </c>
      <c r="AH22" s="441">
        <v>5732091</v>
      </c>
      <c r="AI22" s="441">
        <v>5717882</v>
      </c>
      <c r="AJ22" s="441">
        <v>5708353</v>
      </c>
      <c r="AK22" s="172">
        <v>5729666</v>
      </c>
      <c r="AL22" s="169">
        <v>5688071</v>
      </c>
      <c r="AM22" s="441">
        <v>5662168</v>
      </c>
      <c r="AN22" s="441">
        <v>5649225</v>
      </c>
      <c r="AO22" s="441">
        <v>5641301</v>
      </c>
      <c r="AP22" s="172">
        <v>5660191</v>
      </c>
      <c r="AQ22" s="169">
        <v>5625993</v>
      </c>
      <c r="AR22" s="441"/>
      <c r="AS22" s="441"/>
      <c r="AT22" s="441"/>
      <c r="AU22" s="172"/>
    </row>
    <row r="23" spans="1:47" ht="20.100000000000001" customHeight="1">
      <c r="A23" s="173" t="s">
        <v>140</v>
      </c>
      <c r="B23" s="173" t="s">
        <v>452</v>
      </c>
      <c r="C23" s="174"/>
      <c r="D23" s="175"/>
      <c r="E23" s="175"/>
      <c r="F23" s="175"/>
      <c r="G23" s="176"/>
      <c r="H23" s="177"/>
      <c r="I23" s="178"/>
      <c r="J23" s="178"/>
      <c r="K23" s="178"/>
      <c r="L23" s="176"/>
      <c r="M23" s="177"/>
      <c r="N23" s="179"/>
      <c r="O23" s="179"/>
      <c r="P23" s="178"/>
      <c r="Q23" s="176"/>
      <c r="R23" s="177"/>
      <c r="S23" s="179"/>
      <c r="T23" s="179"/>
      <c r="U23" s="178"/>
      <c r="V23" s="176"/>
      <c r="W23" s="177"/>
      <c r="X23" s="178"/>
      <c r="Y23" s="178"/>
      <c r="Z23" s="178"/>
      <c r="AA23" s="176"/>
      <c r="AB23" s="177"/>
      <c r="AC23" s="178"/>
      <c r="AD23" s="178"/>
      <c r="AE23" s="178"/>
      <c r="AF23" s="176"/>
      <c r="AG23" s="178"/>
      <c r="AH23" s="178"/>
      <c r="AI23" s="512"/>
      <c r="AJ23" s="178"/>
      <c r="AK23" s="176"/>
      <c r="AL23" s="512"/>
      <c r="AM23" s="512"/>
      <c r="AN23" s="512"/>
      <c r="AO23" s="512"/>
      <c r="AP23" s="176"/>
      <c r="AQ23" s="512"/>
      <c r="AR23" s="512"/>
      <c r="AS23" s="512"/>
      <c r="AT23" s="512"/>
      <c r="AU23" s="176"/>
    </row>
    <row r="24" spans="1:47" ht="20.100000000000001" customHeight="1">
      <c r="A24" s="119" t="s">
        <v>130</v>
      </c>
      <c r="B24" s="119" t="s">
        <v>453</v>
      </c>
      <c r="C24" s="180" t="s">
        <v>128</v>
      </c>
      <c r="D24" s="181" t="s">
        <v>128</v>
      </c>
      <c r="E24" s="181" t="s">
        <v>128</v>
      </c>
      <c r="F24" s="181" t="s">
        <v>128</v>
      </c>
      <c r="G24" s="123" t="s">
        <v>128</v>
      </c>
      <c r="H24" s="120">
        <f>SUM(H25:H27)</f>
        <v>4548385</v>
      </c>
      <c r="I24" s="121">
        <f t="shared" ref="I24:N24" si="24">SUM(I25:I27)</f>
        <v>4565319</v>
      </c>
      <c r="J24" s="121">
        <f t="shared" si="24"/>
        <v>4719129</v>
      </c>
      <c r="K24" s="121">
        <f t="shared" si="24"/>
        <v>4468527</v>
      </c>
      <c r="L24" s="122">
        <f t="shared" si="24"/>
        <v>4468527</v>
      </c>
      <c r="M24" s="120">
        <f t="shared" si="24"/>
        <v>4350325</v>
      </c>
      <c r="N24" s="121">
        <f t="shared" si="24"/>
        <v>4227128</v>
      </c>
      <c r="O24" s="121">
        <f>SUM(O25:O27)</f>
        <v>4219194</v>
      </c>
      <c r="P24" s="121">
        <f>SUM(P25:P27)</f>
        <v>4134203</v>
      </c>
      <c r="Q24" s="123">
        <f>SUM(Q25:Q27)</f>
        <v>4134203</v>
      </c>
      <c r="R24" s="120">
        <f t="shared" ref="R24:V24" si="25">SUM(R25:R27)</f>
        <v>4034757</v>
      </c>
      <c r="S24" s="121">
        <f t="shared" si="25"/>
        <v>3972069</v>
      </c>
      <c r="T24" s="121">
        <f t="shared" si="25"/>
        <v>3976807</v>
      </c>
      <c r="U24" s="121">
        <f t="shared" si="25"/>
        <v>3854993</v>
      </c>
      <c r="V24" s="123">
        <f t="shared" si="25"/>
        <v>3854993</v>
      </c>
      <c r="W24" s="120">
        <f t="shared" ref="W24:AF24" si="26">SUM(W25:W27)</f>
        <v>3787667</v>
      </c>
      <c r="X24" s="121">
        <f t="shared" si="26"/>
        <v>3830816</v>
      </c>
      <c r="Y24" s="121">
        <f t="shared" si="26"/>
        <v>3527904</v>
      </c>
      <c r="Z24" s="121">
        <f t="shared" si="26"/>
        <v>3270338</v>
      </c>
      <c r="AA24" s="123">
        <f t="shared" si="26"/>
        <v>3270338</v>
      </c>
      <c r="AB24" s="120">
        <f t="shared" si="26"/>
        <v>2879090</v>
      </c>
      <c r="AC24" s="121">
        <f t="shared" si="26"/>
        <v>2854301</v>
      </c>
      <c r="AD24" s="121">
        <f t="shared" si="26"/>
        <v>2880161</v>
      </c>
      <c r="AE24" s="121">
        <f t="shared" si="26"/>
        <v>2837553</v>
      </c>
      <c r="AF24" s="123">
        <f t="shared" si="26"/>
        <v>2837553</v>
      </c>
      <c r="AG24" s="121">
        <f t="shared" ref="AG24:AK24" si="27">SUM(AG25:AG27)</f>
        <v>2783184</v>
      </c>
      <c r="AH24" s="433">
        <f t="shared" si="27"/>
        <v>2768818</v>
      </c>
      <c r="AI24" s="433">
        <f>SUM(AI25:AI27)</f>
        <v>2794108</v>
      </c>
      <c r="AJ24" s="433">
        <f t="shared" si="27"/>
        <v>2646869</v>
      </c>
      <c r="AK24" s="123">
        <f t="shared" si="27"/>
        <v>2646869</v>
      </c>
      <c r="AL24" s="121">
        <f>SUM(AL25:AL27)</f>
        <v>2642775</v>
      </c>
      <c r="AM24" s="121">
        <f t="shared" ref="AM24:AP24" si="28">SUM(AM25:AM27)</f>
        <v>2607311</v>
      </c>
      <c r="AN24" s="121">
        <f t="shared" si="28"/>
        <v>2678890</v>
      </c>
      <c r="AO24" s="121">
        <f t="shared" si="28"/>
        <v>2657494</v>
      </c>
      <c r="AP24" s="123">
        <f t="shared" si="28"/>
        <v>2657494</v>
      </c>
      <c r="AQ24" s="121">
        <f>SUM(AQ25:AQ27)</f>
        <v>2638638</v>
      </c>
      <c r="AR24" s="121">
        <f t="shared" ref="AR24:AU24" si="29">SUM(AR25:AR27)</f>
        <v>0</v>
      </c>
      <c r="AS24" s="121">
        <f t="shared" si="29"/>
        <v>0</v>
      </c>
      <c r="AT24" s="121">
        <f t="shared" si="29"/>
        <v>0</v>
      </c>
      <c r="AU24" s="123">
        <f t="shared" si="29"/>
        <v>0</v>
      </c>
    </row>
    <row r="25" spans="1:47" ht="20.100000000000001" customHeight="1">
      <c r="A25" s="124" t="s">
        <v>141</v>
      </c>
      <c r="B25" s="124" t="s">
        <v>454</v>
      </c>
      <c r="C25" s="151" t="s">
        <v>128</v>
      </c>
      <c r="D25" s="152" t="s">
        <v>128</v>
      </c>
      <c r="E25" s="152" t="s">
        <v>128</v>
      </c>
      <c r="F25" s="152" t="s">
        <v>128</v>
      </c>
      <c r="G25" s="129" t="s">
        <v>128</v>
      </c>
      <c r="H25" s="125">
        <v>85574</v>
      </c>
      <c r="I25" s="126">
        <v>81441</v>
      </c>
      <c r="J25" s="126">
        <v>84538</v>
      </c>
      <c r="K25" s="126">
        <v>77771</v>
      </c>
      <c r="L25" s="129">
        <f>K25</f>
        <v>77771</v>
      </c>
      <c r="M25" s="125">
        <v>81619</v>
      </c>
      <c r="N25" s="126">
        <v>66578</v>
      </c>
      <c r="O25" s="128">
        <v>98136</v>
      </c>
      <c r="P25" s="126">
        <v>122787</v>
      </c>
      <c r="Q25" s="129">
        <v>122787</v>
      </c>
      <c r="R25" s="125">
        <v>66163</v>
      </c>
      <c r="S25" s="126">
        <v>41517</v>
      </c>
      <c r="T25" s="126">
        <v>60471</v>
      </c>
      <c r="U25" s="126">
        <v>31972</v>
      </c>
      <c r="V25" s="129">
        <f>U25</f>
        <v>31972</v>
      </c>
      <c r="W25" s="125">
        <v>35754</v>
      </c>
      <c r="X25" s="126">
        <v>73544</v>
      </c>
      <c r="Y25" s="126">
        <v>44913</v>
      </c>
      <c r="Z25" s="126">
        <v>79306</v>
      </c>
      <c r="AA25" s="129">
        <f>Z25</f>
        <v>79306</v>
      </c>
      <c r="AB25" s="125">
        <v>48224</v>
      </c>
      <c r="AC25" s="126">
        <v>57183</v>
      </c>
      <c r="AD25" s="126">
        <v>63627</v>
      </c>
      <c r="AE25" s="126">
        <v>79561</v>
      </c>
      <c r="AF25" s="129">
        <f>AE25</f>
        <v>79561</v>
      </c>
      <c r="AG25" s="126">
        <v>75159</v>
      </c>
      <c r="AH25" s="434">
        <v>59722</v>
      </c>
      <c r="AI25" s="434">
        <v>91261</v>
      </c>
      <c r="AJ25" s="434">
        <v>95685</v>
      </c>
      <c r="AK25" s="129">
        <v>95685</v>
      </c>
      <c r="AL25" s="126">
        <v>144586</v>
      </c>
      <c r="AM25" s="434">
        <v>87176</v>
      </c>
      <c r="AN25" s="434">
        <v>142886</v>
      </c>
      <c r="AO25" s="434">
        <v>161208</v>
      </c>
      <c r="AP25" s="129">
        <v>161208</v>
      </c>
      <c r="AQ25" s="126">
        <v>171958</v>
      </c>
      <c r="AR25" s="434"/>
      <c r="AS25" s="434"/>
      <c r="AT25" s="434"/>
      <c r="AU25" s="129"/>
    </row>
    <row r="26" spans="1:47" ht="20.100000000000001" customHeight="1">
      <c r="A26" s="124" t="s">
        <v>133</v>
      </c>
      <c r="B26" s="124" t="s">
        <v>455</v>
      </c>
      <c r="C26" s="151" t="s">
        <v>128</v>
      </c>
      <c r="D26" s="152" t="s">
        <v>128</v>
      </c>
      <c r="E26" s="152" t="s">
        <v>128</v>
      </c>
      <c r="F26" s="152" t="s">
        <v>128</v>
      </c>
      <c r="G26" s="129" t="s">
        <v>128</v>
      </c>
      <c r="H26" s="125">
        <v>4385742</v>
      </c>
      <c r="I26" s="126">
        <v>4379630</v>
      </c>
      <c r="J26" s="126">
        <v>4475541</v>
      </c>
      <c r="K26" s="126">
        <v>4171810</v>
      </c>
      <c r="L26" s="129">
        <f>K26</f>
        <v>4171810</v>
      </c>
      <c r="M26" s="125">
        <v>4042605</v>
      </c>
      <c r="N26" s="126">
        <v>3923778</v>
      </c>
      <c r="O26" s="128">
        <v>3855669</v>
      </c>
      <c r="P26" s="126">
        <v>3792978</v>
      </c>
      <c r="Q26" s="129">
        <v>3792978</v>
      </c>
      <c r="R26" s="125">
        <v>3775976</v>
      </c>
      <c r="S26" s="126">
        <v>3737282</v>
      </c>
      <c r="T26" s="126">
        <v>3685092</v>
      </c>
      <c r="U26" s="126">
        <v>3591736</v>
      </c>
      <c r="V26" s="129">
        <f t="shared" ref="V26:V27" si="30">U26</f>
        <v>3591736</v>
      </c>
      <c r="W26" s="125">
        <v>3495733</v>
      </c>
      <c r="X26" s="126">
        <v>3473228</v>
      </c>
      <c r="Y26" s="126">
        <v>3223224</v>
      </c>
      <c r="Z26" s="126">
        <v>2972443</v>
      </c>
      <c r="AA26" s="129">
        <f t="shared" ref="AA26:AA27" si="31">Z26</f>
        <v>2972443</v>
      </c>
      <c r="AB26" s="125">
        <v>2646477</v>
      </c>
      <c r="AC26" s="126">
        <v>2616592</v>
      </c>
      <c r="AD26" s="126">
        <v>2623950</v>
      </c>
      <c r="AE26" s="126">
        <v>2579613</v>
      </c>
      <c r="AF26" s="129">
        <f t="shared" ref="AF26:AF27" si="32">AE26</f>
        <v>2579613</v>
      </c>
      <c r="AG26" s="126">
        <v>2539402</v>
      </c>
      <c r="AH26" s="434">
        <v>2545749</v>
      </c>
      <c r="AI26" s="434">
        <v>2550355</v>
      </c>
      <c r="AJ26" s="434">
        <v>2423774</v>
      </c>
      <c r="AK26" s="129">
        <v>2423774</v>
      </c>
      <c r="AL26" s="126">
        <v>2387672</v>
      </c>
      <c r="AM26" s="434">
        <v>2418370</v>
      </c>
      <c r="AN26" s="434">
        <v>2443295</v>
      </c>
      <c r="AO26" s="434">
        <v>2415819</v>
      </c>
      <c r="AP26" s="129">
        <v>2415819</v>
      </c>
      <c r="AQ26" s="126">
        <v>2393373</v>
      </c>
      <c r="AR26" s="434"/>
      <c r="AS26" s="434"/>
      <c r="AT26" s="434"/>
      <c r="AU26" s="129"/>
    </row>
    <row r="27" spans="1:47" ht="20.100000000000001" customHeight="1" thickBot="1">
      <c r="A27" s="124" t="s">
        <v>142</v>
      </c>
      <c r="B27" s="196" t="s">
        <v>142</v>
      </c>
      <c r="C27" s="182" t="s">
        <v>128</v>
      </c>
      <c r="D27" s="183" t="s">
        <v>128</v>
      </c>
      <c r="E27" s="183" t="s">
        <v>128</v>
      </c>
      <c r="F27" s="183" t="s">
        <v>128</v>
      </c>
      <c r="G27" s="129" t="s">
        <v>128</v>
      </c>
      <c r="H27" s="125">
        <v>77069</v>
      </c>
      <c r="I27" s="126">
        <v>104248</v>
      </c>
      <c r="J27" s="126">
        <v>159050</v>
      </c>
      <c r="K27" s="126">
        <v>218946</v>
      </c>
      <c r="L27" s="129">
        <f>K27</f>
        <v>218946</v>
      </c>
      <c r="M27" s="125">
        <v>226101</v>
      </c>
      <c r="N27" s="126">
        <v>236772</v>
      </c>
      <c r="O27" s="128">
        <v>265389</v>
      </c>
      <c r="P27" s="126">
        <v>218438</v>
      </c>
      <c r="Q27" s="129">
        <v>218438</v>
      </c>
      <c r="R27" s="125">
        <v>192618</v>
      </c>
      <c r="S27" s="126">
        <v>193270</v>
      </c>
      <c r="T27" s="126">
        <v>231244</v>
      </c>
      <c r="U27" s="126">
        <v>231285</v>
      </c>
      <c r="V27" s="129">
        <f t="shared" si="30"/>
        <v>231285</v>
      </c>
      <c r="W27" s="125">
        <v>256180</v>
      </c>
      <c r="X27" s="126">
        <v>284044</v>
      </c>
      <c r="Y27" s="126">
        <v>259767</v>
      </c>
      <c r="Z27" s="126">
        <v>218589</v>
      </c>
      <c r="AA27" s="129">
        <f t="shared" si="31"/>
        <v>218589</v>
      </c>
      <c r="AB27" s="125">
        <v>184389</v>
      </c>
      <c r="AC27" s="126">
        <v>180526</v>
      </c>
      <c r="AD27" s="126">
        <v>192584</v>
      </c>
      <c r="AE27" s="126">
        <v>178379</v>
      </c>
      <c r="AF27" s="129">
        <f t="shared" si="32"/>
        <v>178379</v>
      </c>
      <c r="AG27" s="126">
        <v>168623</v>
      </c>
      <c r="AH27" s="434">
        <v>163347</v>
      </c>
      <c r="AI27" s="434">
        <v>152492</v>
      </c>
      <c r="AJ27" s="434">
        <v>127410</v>
      </c>
      <c r="AK27" s="129">
        <v>127410</v>
      </c>
      <c r="AL27" s="126">
        <v>110517</v>
      </c>
      <c r="AM27" s="434">
        <v>101765</v>
      </c>
      <c r="AN27" s="434">
        <v>92709</v>
      </c>
      <c r="AO27" s="434">
        <v>80467</v>
      </c>
      <c r="AP27" s="129">
        <v>80467</v>
      </c>
      <c r="AQ27" s="126">
        <v>73307</v>
      </c>
      <c r="AR27" s="434"/>
      <c r="AS27" s="434"/>
      <c r="AT27" s="434"/>
      <c r="AU27" s="129"/>
    </row>
    <row r="28" spans="1:47" ht="20.100000000000001" customHeight="1" thickBot="1">
      <c r="A28" s="184" t="s">
        <v>143</v>
      </c>
      <c r="B28" s="694" t="s">
        <v>456</v>
      </c>
      <c r="C28" s="185" t="s">
        <v>128</v>
      </c>
      <c r="D28" s="186" t="s">
        <v>128</v>
      </c>
      <c r="E28" s="186" t="s">
        <v>128</v>
      </c>
      <c r="F28" s="186" t="s">
        <v>128</v>
      </c>
      <c r="G28" s="187" t="s">
        <v>128</v>
      </c>
      <c r="H28" s="188">
        <v>18</v>
      </c>
      <c r="I28" s="189">
        <v>19.2</v>
      </c>
      <c r="J28" s="189">
        <v>18.2</v>
      </c>
      <c r="K28" s="189">
        <v>17.5</v>
      </c>
      <c r="L28" s="190">
        <v>18.2</v>
      </c>
      <c r="M28" s="188">
        <v>16.5</v>
      </c>
      <c r="N28" s="189">
        <v>17.899999999999999</v>
      </c>
      <c r="O28" s="191">
        <v>18.3</v>
      </c>
      <c r="P28" s="189">
        <v>18.2</v>
      </c>
      <c r="Q28" s="190">
        <v>17.7</v>
      </c>
      <c r="R28" s="188">
        <v>17.3</v>
      </c>
      <c r="S28" s="189">
        <v>18.3</v>
      </c>
      <c r="T28" s="189">
        <v>19</v>
      </c>
      <c r="U28" s="189">
        <v>18.5</v>
      </c>
      <c r="V28" s="190">
        <v>18.3</v>
      </c>
      <c r="W28" s="188">
        <v>17.7</v>
      </c>
      <c r="X28" s="189">
        <v>18.899999999999999</v>
      </c>
      <c r="Y28" s="189">
        <v>18.7</v>
      </c>
      <c r="Z28" s="189">
        <v>19.2</v>
      </c>
      <c r="AA28" s="190">
        <v>18.600000000000001</v>
      </c>
      <c r="AB28" s="188">
        <v>18.7</v>
      </c>
      <c r="AC28" s="189">
        <v>20.5</v>
      </c>
      <c r="AD28" s="189">
        <v>20.2</v>
      </c>
      <c r="AE28" s="189">
        <v>20.100000000000001</v>
      </c>
      <c r="AF28" s="190">
        <v>19.899999999999999</v>
      </c>
      <c r="AG28" s="189">
        <v>20.100000000000001</v>
      </c>
      <c r="AH28" s="443">
        <v>20.399999999999999</v>
      </c>
      <c r="AI28" s="443">
        <v>20.8</v>
      </c>
      <c r="AJ28" s="443">
        <v>20.3</v>
      </c>
      <c r="AK28" s="190">
        <v>20.399999999999999</v>
      </c>
      <c r="AL28" s="189">
        <v>20.100000000000001</v>
      </c>
      <c r="AM28" s="443">
        <v>20.8</v>
      </c>
      <c r="AN28" s="443">
        <v>20.8</v>
      </c>
      <c r="AO28" s="443">
        <v>20.3</v>
      </c>
      <c r="AP28" s="190">
        <v>20.5</v>
      </c>
      <c r="AQ28" s="189">
        <v>20.7</v>
      </c>
      <c r="AR28" s="443"/>
      <c r="AS28" s="443"/>
      <c r="AT28" s="443"/>
      <c r="AU28" s="190"/>
    </row>
    <row r="29" spans="1:47" ht="20.100000000000001" customHeight="1">
      <c r="A29" s="192" t="s">
        <v>138</v>
      </c>
      <c r="B29" s="192" t="s">
        <v>457</v>
      </c>
      <c r="C29" s="193" t="s">
        <v>128</v>
      </c>
      <c r="D29" s="194" t="s">
        <v>128</v>
      </c>
      <c r="E29" s="194" t="s">
        <v>128</v>
      </c>
      <c r="F29" s="194" t="s">
        <v>128</v>
      </c>
      <c r="G29" s="195" t="s">
        <v>128</v>
      </c>
      <c r="H29" s="163">
        <f>SUM(H30:H32)</f>
        <v>4549031</v>
      </c>
      <c r="I29" s="164">
        <f t="shared" ref="I29:N29" si="33">SUM(I30:I32)</f>
        <v>4532090</v>
      </c>
      <c r="J29" s="164">
        <f t="shared" si="33"/>
        <v>4635182</v>
      </c>
      <c r="K29" s="164">
        <f t="shared" si="33"/>
        <v>4599374</v>
      </c>
      <c r="L29" s="195">
        <f t="shared" si="33"/>
        <v>4578919.25</v>
      </c>
      <c r="M29" s="163">
        <f t="shared" si="33"/>
        <v>4398038</v>
      </c>
      <c r="N29" s="164">
        <f t="shared" si="33"/>
        <v>4285747</v>
      </c>
      <c r="O29" s="164">
        <f>SUM(O30:O32)</f>
        <v>4212274</v>
      </c>
      <c r="P29" s="164">
        <f>SUM(P30:P32)</f>
        <v>4172129</v>
      </c>
      <c r="Q29" s="195">
        <f>SUM(Q30:Q32)</f>
        <v>4267047</v>
      </c>
      <c r="R29" s="163">
        <f t="shared" ref="R29:V29" si="34">SUM(R30:R32)</f>
        <v>4068646</v>
      </c>
      <c r="S29" s="164">
        <f t="shared" si="34"/>
        <v>4006108</v>
      </c>
      <c r="T29" s="164">
        <f t="shared" si="34"/>
        <v>3970091</v>
      </c>
      <c r="U29" s="164">
        <f t="shared" si="34"/>
        <v>3917979</v>
      </c>
      <c r="V29" s="195">
        <f t="shared" si="34"/>
        <v>3990706</v>
      </c>
      <c r="W29" s="163">
        <f t="shared" ref="W29:AF29" si="35">SUM(W30:W32)</f>
        <v>3801870</v>
      </c>
      <c r="X29" s="164">
        <f t="shared" si="35"/>
        <v>3794613</v>
      </c>
      <c r="Y29" s="164">
        <f t="shared" si="35"/>
        <v>3713417</v>
      </c>
      <c r="Z29" s="164">
        <f t="shared" si="35"/>
        <v>3341220</v>
      </c>
      <c r="AA29" s="195">
        <f t="shared" si="35"/>
        <v>3662780</v>
      </c>
      <c r="AB29" s="163">
        <f t="shared" si="35"/>
        <v>3050604</v>
      </c>
      <c r="AC29" s="164">
        <f t="shared" si="35"/>
        <v>2882155</v>
      </c>
      <c r="AD29" s="164">
        <f t="shared" si="35"/>
        <v>2863783</v>
      </c>
      <c r="AE29" s="164">
        <f t="shared" si="35"/>
        <v>2851766</v>
      </c>
      <c r="AF29" s="195">
        <f t="shared" si="35"/>
        <v>2912076</v>
      </c>
      <c r="AG29" s="164">
        <f t="shared" ref="AG29:AK29" si="36">SUM(AG30:AG32)</f>
        <v>2789695</v>
      </c>
      <c r="AH29" s="442">
        <f t="shared" si="36"/>
        <v>2771707.333333333</v>
      </c>
      <c r="AI29" s="442">
        <f t="shared" si="36"/>
        <v>2774199</v>
      </c>
      <c r="AJ29" s="442">
        <f t="shared" si="36"/>
        <v>2745638</v>
      </c>
      <c r="AK29" s="195">
        <f t="shared" si="36"/>
        <v>2770309</v>
      </c>
      <c r="AL29" s="164">
        <f t="shared" ref="AL29:AP29" si="37">SUM(AL30:AL32)</f>
        <v>2613613</v>
      </c>
      <c r="AM29" s="164">
        <f t="shared" si="37"/>
        <v>2616887</v>
      </c>
      <c r="AN29" s="164">
        <f t="shared" si="37"/>
        <v>2633673</v>
      </c>
      <c r="AO29" s="164">
        <f t="shared" si="37"/>
        <v>2656703</v>
      </c>
      <c r="AP29" s="195">
        <f t="shared" si="37"/>
        <v>2630219</v>
      </c>
      <c r="AQ29" s="164">
        <f t="shared" ref="AQ29:AU29" si="38">SUM(AQ30:AQ32)</f>
        <v>2604742</v>
      </c>
      <c r="AR29" s="164">
        <f t="shared" si="38"/>
        <v>0</v>
      </c>
      <c r="AS29" s="164">
        <f t="shared" si="38"/>
        <v>0</v>
      </c>
      <c r="AT29" s="164">
        <f t="shared" si="38"/>
        <v>0</v>
      </c>
      <c r="AU29" s="195">
        <f t="shared" si="38"/>
        <v>0</v>
      </c>
    </row>
    <row r="30" spans="1:47" ht="20.100000000000001" customHeight="1">
      <c r="A30" s="124" t="s">
        <v>141</v>
      </c>
      <c r="B30" s="124" t="s">
        <v>454</v>
      </c>
      <c r="C30" s="151" t="s">
        <v>128</v>
      </c>
      <c r="D30" s="152" t="s">
        <v>128</v>
      </c>
      <c r="E30" s="152" t="s">
        <v>128</v>
      </c>
      <c r="F30" s="152" t="s">
        <v>128</v>
      </c>
      <c r="G30" s="129" t="s">
        <v>128</v>
      </c>
      <c r="H30" s="125">
        <v>78707</v>
      </c>
      <c r="I30" s="126">
        <v>73828</v>
      </c>
      <c r="J30" s="126">
        <v>68740</v>
      </c>
      <c r="K30" s="126">
        <v>77953</v>
      </c>
      <c r="L30" s="129">
        <f>AVERAGE(H30:K30)</f>
        <v>74807</v>
      </c>
      <c r="M30" s="125">
        <v>77779</v>
      </c>
      <c r="N30" s="126">
        <v>79253</v>
      </c>
      <c r="O30" s="128">
        <v>69522</v>
      </c>
      <c r="P30" s="126">
        <v>129021</v>
      </c>
      <c r="Q30" s="129">
        <v>88894</v>
      </c>
      <c r="R30" s="125">
        <v>67972</v>
      </c>
      <c r="S30" s="126">
        <v>61165</v>
      </c>
      <c r="T30" s="126">
        <v>41313</v>
      </c>
      <c r="U30" s="126">
        <v>56743</v>
      </c>
      <c r="V30" s="129">
        <v>56798</v>
      </c>
      <c r="W30" s="125">
        <v>36255</v>
      </c>
      <c r="X30" s="126">
        <v>52114</v>
      </c>
      <c r="Y30" s="126">
        <v>42971</v>
      </c>
      <c r="Z30" s="126">
        <v>54083</v>
      </c>
      <c r="AA30" s="129">
        <v>46356</v>
      </c>
      <c r="AB30" s="125">
        <v>48659</v>
      </c>
      <c r="AC30" s="126">
        <v>69132</v>
      </c>
      <c r="AD30" s="126">
        <v>54950</v>
      </c>
      <c r="AE30" s="126">
        <v>65088</v>
      </c>
      <c r="AF30" s="129">
        <v>59457</v>
      </c>
      <c r="AG30" s="126">
        <v>58222</v>
      </c>
      <c r="AH30" s="434">
        <v>69503.166666666672</v>
      </c>
      <c r="AI30" s="434">
        <v>58358</v>
      </c>
      <c r="AJ30" s="434">
        <v>95346</v>
      </c>
      <c r="AK30" s="129">
        <v>70357</v>
      </c>
      <c r="AL30" s="126">
        <v>91940</v>
      </c>
      <c r="AM30" s="434">
        <v>113249</v>
      </c>
      <c r="AN30" s="434">
        <v>94727</v>
      </c>
      <c r="AO30" s="434">
        <v>145284</v>
      </c>
      <c r="AP30" s="129">
        <v>111300</v>
      </c>
      <c r="AQ30" s="126">
        <v>122482</v>
      </c>
      <c r="AR30" s="434"/>
      <c r="AS30" s="434"/>
      <c r="AT30" s="434"/>
      <c r="AU30" s="129"/>
    </row>
    <row r="31" spans="1:47" ht="20.100000000000001" customHeight="1">
      <c r="A31" s="124" t="s">
        <v>133</v>
      </c>
      <c r="B31" s="124" t="s">
        <v>455</v>
      </c>
      <c r="C31" s="151" t="s">
        <v>128</v>
      </c>
      <c r="D31" s="152" t="s">
        <v>128</v>
      </c>
      <c r="E31" s="152" t="s">
        <v>128</v>
      </c>
      <c r="F31" s="152" t="s">
        <v>128</v>
      </c>
      <c r="G31" s="129" t="s">
        <v>128</v>
      </c>
      <c r="H31" s="125">
        <v>4397976</v>
      </c>
      <c r="I31" s="126">
        <v>4370181</v>
      </c>
      <c r="J31" s="126">
        <v>4431149</v>
      </c>
      <c r="K31" s="126">
        <v>4338987</v>
      </c>
      <c r="L31" s="129">
        <f t="shared" ref="L31:L32" si="39">AVERAGE(H31:K31)</f>
        <v>4384573.25</v>
      </c>
      <c r="M31" s="125">
        <v>4091609</v>
      </c>
      <c r="N31" s="126">
        <v>3975410</v>
      </c>
      <c r="O31" s="128">
        <v>3893375</v>
      </c>
      <c r="P31" s="126">
        <v>3798701</v>
      </c>
      <c r="Q31" s="129">
        <v>3939774</v>
      </c>
      <c r="R31" s="125">
        <v>3797423</v>
      </c>
      <c r="S31" s="126">
        <v>3755130</v>
      </c>
      <c r="T31" s="126">
        <v>3713656</v>
      </c>
      <c r="U31" s="126">
        <v>3630863</v>
      </c>
      <c r="V31" s="129">
        <v>3724268</v>
      </c>
      <c r="W31" s="125">
        <v>3529840</v>
      </c>
      <c r="X31" s="126">
        <v>3473104</v>
      </c>
      <c r="Y31" s="126">
        <v>3386794</v>
      </c>
      <c r="Z31" s="126">
        <v>3058691</v>
      </c>
      <c r="AA31" s="129">
        <v>3362107</v>
      </c>
      <c r="AB31" s="125">
        <v>2800366</v>
      </c>
      <c r="AC31" s="126">
        <v>2631773</v>
      </c>
      <c r="AD31" s="126">
        <v>2620575</v>
      </c>
      <c r="AE31" s="126">
        <v>2601552</v>
      </c>
      <c r="AF31" s="129">
        <v>2663566</v>
      </c>
      <c r="AG31" s="126">
        <v>2558174</v>
      </c>
      <c r="AH31" s="434">
        <v>2536844.1666666665</v>
      </c>
      <c r="AI31" s="434">
        <v>2555414</v>
      </c>
      <c r="AJ31" s="434">
        <v>2511226</v>
      </c>
      <c r="AK31" s="129">
        <v>2540414</v>
      </c>
      <c r="AL31" s="126">
        <v>2403135</v>
      </c>
      <c r="AM31" s="434">
        <v>2398016</v>
      </c>
      <c r="AN31" s="434">
        <v>2441160</v>
      </c>
      <c r="AO31" s="434">
        <v>2425301</v>
      </c>
      <c r="AP31" s="129">
        <v>2416903</v>
      </c>
      <c r="AQ31" s="126">
        <v>2405796</v>
      </c>
      <c r="AR31" s="434"/>
      <c r="AS31" s="434"/>
      <c r="AT31" s="434"/>
      <c r="AU31" s="129"/>
    </row>
    <row r="32" spans="1:47" ht="20.100000000000001" customHeight="1" thickBot="1">
      <c r="A32" s="196" t="s">
        <v>142</v>
      </c>
      <c r="B32" s="196" t="s">
        <v>142</v>
      </c>
      <c r="C32" s="182" t="s">
        <v>128</v>
      </c>
      <c r="D32" s="183" t="s">
        <v>128</v>
      </c>
      <c r="E32" s="183" t="s">
        <v>128</v>
      </c>
      <c r="F32" s="183" t="s">
        <v>128</v>
      </c>
      <c r="G32" s="197" t="s">
        <v>128</v>
      </c>
      <c r="H32" s="198">
        <v>72348</v>
      </c>
      <c r="I32" s="199">
        <v>88081</v>
      </c>
      <c r="J32" s="199">
        <v>135293</v>
      </c>
      <c r="K32" s="199">
        <v>182434</v>
      </c>
      <c r="L32" s="197">
        <f t="shared" si="39"/>
        <v>119539</v>
      </c>
      <c r="M32" s="198">
        <v>228650</v>
      </c>
      <c r="N32" s="199">
        <v>231084</v>
      </c>
      <c r="O32" s="200">
        <v>249377</v>
      </c>
      <c r="P32" s="199">
        <v>244407</v>
      </c>
      <c r="Q32" s="197">
        <v>238379</v>
      </c>
      <c r="R32" s="198">
        <v>203251</v>
      </c>
      <c r="S32" s="199">
        <v>189813</v>
      </c>
      <c r="T32" s="199">
        <v>215122</v>
      </c>
      <c r="U32" s="199">
        <v>230373</v>
      </c>
      <c r="V32" s="197">
        <v>209640</v>
      </c>
      <c r="W32" s="198">
        <v>235775</v>
      </c>
      <c r="X32" s="199">
        <v>269395</v>
      </c>
      <c r="Y32" s="199">
        <v>283652</v>
      </c>
      <c r="Z32" s="199">
        <v>228446</v>
      </c>
      <c r="AA32" s="197">
        <v>254317</v>
      </c>
      <c r="AB32" s="198">
        <v>201579</v>
      </c>
      <c r="AC32" s="199">
        <v>181250</v>
      </c>
      <c r="AD32" s="199">
        <v>188258</v>
      </c>
      <c r="AE32" s="199">
        <v>185126</v>
      </c>
      <c r="AF32" s="197">
        <v>189053</v>
      </c>
      <c r="AG32" s="199">
        <v>173299</v>
      </c>
      <c r="AH32" s="444">
        <v>165360</v>
      </c>
      <c r="AI32" s="444">
        <v>160427</v>
      </c>
      <c r="AJ32" s="444">
        <v>139066</v>
      </c>
      <c r="AK32" s="197">
        <v>159538</v>
      </c>
      <c r="AL32" s="199">
        <v>118538</v>
      </c>
      <c r="AM32" s="444">
        <v>105622</v>
      </c>
      <c r="AN32" s="444">
        <v>97786</v>
      </c>
      <c r="AO32" s="444">
        <v>86118</v>
      </c>
      <c r="AP32" s="197">
        <v>102016</v>
      </c>
      <c r="AQ32" s="199">
        <v>76464</v>
      </c>
      <c r="AR32" s="444"/>
      <c r="AS32" s="444"/>
      <c r="AT32" s="444"/>
      <c r="AU32" s="197"/>
    </row>
    <row r="33" spans="1:47" s="201" customFormat="1" ht="20.100000000000001" customHeight="1">
      <c r="A33" s="202"/>
      <c r="B33" s="202"/>
      <c r="S33" s="202"/>
      <c r="T33" s="202"/>
      <c r="AI33" s="513"/>
      <c r="AM33" s="4"/>
      <c r="AN33" s="4"/>
      <c r="AQ33" s="513"/>
      <c r="AR33" s="4"/>
      <c r="AS33" s="4"/>
      <c r="AT33" s="513"/>
      <c r="AU33" s="513"/>
    </row>
    <row r="34" spans="1:47" s="201" customFormat="1" ht="48">
      <c r="A34" s="622" t="s">
        <v>144</v>
      </c>
      <c r="B34" s="697" t="s">
        <v>459</v>
      </c>
      <c r="C34" s="2"/>
      <c r="D34" s="2"/>
      <c r="E34" s="2"/>
      <c r="F34" s="2"/>
      <c r="G34" s="2"/>
      <c r="H34" s="2"/>
      <c r="I34" s="2"/>
      <c r="J34" s="2"/>
      <c r="K34" s="2"/>
      <c r="L34" s="2"/>
      <c r="M34" s="2"/>
      <c r="N34" s="2"/>
      <c r="O34" s="204"/>
      <c r="P34" s="204"/>
      <c r="Q34" s="204"/>
      <c r="R34" s="204"/>
      <c r="S34" s="203"/>
      <c r="T34" s="203"/>
      <c r="U34" s="204"/>
      <c r="V34" s="204"/>
      <c r="W34" s="204"/>
      <c r="X34" s="204"/>
      <c r="Y34" s="204"/>
      <c r="Z34" s="204"/>
      <c r="AA34" s="204"/>
      <c r="AB34" s="204"/>
      <c r="AC34" s="204"/>
      <c r="AD34" s="204"/>
      <c r="AE34" s="204"/>
      <c r="AF34" s="204"/>
      <c r="AG34" s="204"/>
      <c r="AH34" s="204"/>
      <c r="AI34" s="514"/>
      <c r="AJ34" s="204"/>
      <c r="AK34" s="204"/>
      <c r="AM34" s="4"/>
      <c r="AN34" s="4"/>
      <c r="AQ34" s="513"/>
      <c r="AR34" s="4"/>
      <c r="AS34" s="4"/>
      <c r="AT34" s="513"/>
      <c r="AU34" s="513"/>
    </row>
    <row r="35" spans="1:47" s="201" customFormat="1" ht="48">
      <c r="A35" s="622" t="s">
        <v>145</v>
      </c>
      <c r="B35" s="697" t="s">
        <v>460</v>
      </c>
      <c r="C35" s="2"/>
      <c r="D35" s="2"/>
      <c r="E35" s="2"/>
      <c r="F35" s="2"/>
      <c r="G35" s="2"/>
      <c r="H35" s="2"/>
      <c r="I35" s="2"/>
      <c r="J35" s="2"/>
      <c r="K35" s="2"/>
      <c r="L35" s="2"/>
      <c r="M35" s="2"/>
      <c r="N35" s="2"/>
      <c r="O35" s="204"/>
      <c r="P35" s="204"/>
      <c r="Q35" s="204"/>
      <c r="R35" s="204"/>
      <c r="S35" s="203"/>
      <c r="T35" s="203"/>
      <c r="U35" s="204"/>
      <c r="V35" s="204"/>
      <c r="W35" s="204"/>
      <c r="X35" s="204"/>
      <c r="Y35" s="204"/>
      <c r="Z35" s="204"/>
      <c r="AA35" s="204"/>
      <c r="AB35" s="204"/>
      <c r="AC35" s="204"/>
      <c r="AD35" s="204"/>
      <c r="AE35" s="204"/>
      <c r="AF35" s="204"/>
      <c r="AG35" s="204"/>
      <c r="AH35" s="204"/>
      <c r="AI35" s="514"/>
      <c r="AJ35" s="204"/>
      <c r="AK35" s="204"/>
      <c r="AM35" s="4"/>
      <c r="AN35" s="4"/>
      <c r="AQ35" s="513"/>
      <c r="AR35" s="4"/>
      <c r="AS35" s="4"/>
      <c r="AT35" s="513"/>
      <c r="AU35" s="513"/>
    </row>
    <row r="36" spans="1:47" s="201" customFormat="1" ht="48">
      <c r="A36" s="695" t="s">
        <v>146</v>
      </c>
      <c r="B36" s="697" t="s">
        <v>461</v>
      </c>
      <c r="C36" s="696"/>
      <c r="D36" s="696"/>
      <c r="E36" s="696"/>
      <c r="F36" s="696"/>
      <c r="G36" s="696"/>
      <c r="H36" s="696"/>
      <c r="I36" s="696"/>
      <c r="J36" s="696"/>
      <c r="K36" s="2"/>
      <c r="L36" s="2"/>
      <c r="M36" s="2"/>
      <c r="N36" s="2"/>
      <c r="O36" s="204"/>
      <c r="P36" s="204"/>
      <c r="Q36" s="204"/>
      <c r="R36" s="204"/>
      <c r="S36" s="203"/>
      <c r="T36" s="203"/>
      <c r="U36" s="204"/>
      <c r="V36" s="204"/>
      <c r="W36" s="204"/>
      <c r="X36" s="204"/>
      <c r="Y36" s="204"/>
      <c r="Z36" s="204"/>
      <c r="AA36" s="204"/>
      <c r="AB36" s="204"/>
      <c r="AC36" s="204"/>
      <c r="AD36" s="204"/>
      <c r="AE36" s="204"/>
      <c r="AF36" s="204"/>
      <c r="AG36" s="204"/>
      <c r="AH36" s="204"/>
      <c r="AI36" s="204"/>
      <c r="AJ36" s="204"/>
      <c r="AK36" s="204"/>
      <c r="AM36" s="4"/>
      <c r="AN36" s="4"/>
      <c r="AQ36" s="513"/>
      <c r="AR36" s="4"/>
      <c r="AS36" s="4"/>
      <c r="AT36" s="513"/>
      <c r="AU36" s="513"/>
    </row>
    <row r="37" spans="1:47" s="201" customFormat="1" ht="132" customHeight="1">
      <c r="A37" s="695" t="s">
        <v>458</v>
      </c>
      <c r="B37" s="697" t="s">
        <v>462</v>
      </c>
      <c r="C37" s="696"/>
      <c r="D37" s="696"/>
      <c r="E37" s="696"/>
      <c r="F37" s="696"/>
      <c r="G37" s="696"/>
      <c r="H37" s="696"/>
      <c r="I37" s="696"/>
      <c r="J37" s="696"/>
      <c r="K37" s="696"/>
      <c r="L37" s="696"/>
      <c r="M37" s="696"/>
      <c r="N37" s="696"/>
      <c r="O37" s="695"/>
      <c r="P37" s="695"/>
      <c r="Q37" s="695"/>
      <c r="R37" s="695"/>
      <c r="S37" s="695"/>
      <c r="T37" s="695"/>
      <c r="U37" s="202"/>
      <c r="Z37" s="202"/>
      <c r="AE37" s="202"/>
      <c r="AJ37" s="202"/>
      <c r="AM37" s="4"/>
      <c r="AN37" s="4"/>
      <c r="AQ37" s="513"/>
      <c r="AR37" s="4"/>
      <c r="AS37" s="4"/>
      <c r="AT37" s="513"/>
      <c r="AU37" s="513"/>
    </row>
    <row r="38" spans="1:47" s="201" customFormat="1" ht="36">
      <c r="A38" s="695" t="s">
        <v>147</v>
      </c>
      <c r="B38" s="697" t="s">
        <v>463</v>
      </c>
      <c r="C38" s="696"/>
      <c r="D38" s="696"/>
      <c r="E38" s="696"/>
      <c r="F38" s="696"/>
      <c r="G38" s="696"/>
      <c r="H38" s="696"/>
      <c r="I38" s="696"/>
      <c r="J38" s="696"/>
      <c r="K38" s="696"/>
      <c r="L38" s="696"/>
      <c r="M38" s="696"/>
      <c r="N38" s="696"/>
      <c r="O38" s="204"/>
      <c r="P38" s="204"/>
      <c r="Q38" s="204"/>
      <c r="R38" s="204"/>
      <c r="S38" s="203"/>
      <c r="T38" s="203"/>
      <c r="U38" s="204"/>
      <c r="V38" s="204"/>
      <c r="W38" s="204"/>
      <c r="X38" s="204"/>
      <c r="Y38" s="204"/>
      <c r="Z38" s="204"/>
      <c r="AA38" s="204"/>
      <c r="AB38" s="204"/>
      <c r="AC38" s="204"/>
      <c r="AD38" s="204"/>
      <c r="AE38" s="204"/>
      <c r="AF38" s="204"/>
      <c r="AG38" s="204"/>
      <c r="AH38" s="204"/>
      <c r="AI38" s="204"/>
      <c r="AJ38" s="204"/>
      <c r="AK38" s="204"/>
      <c r="AM38" s="4"/>
      <c r="AN38" s="4"/>
      <c r="AQ38" s="513"/>
      <c r="AR38" s="4"/>
      <c r="AS38" s="4"/>
      <c r="AT38" s="513"/>
      <c r="AU38" s="513"/>
    </row>
    <row r="39" spans="1:47" s="201" customFormat="1" ht="84">
      <c r="A39" s="622" t="s">
        <v>225</v>
      </c>
      <c r="B39" s="697" t="s">
        <v>464</v>
      </c>
      <c r="C39" s="2"/>
      <c r="D39" s="2"/>
      <c r="E39" s="2"/>
      <c r="F39" s="2"/>
      <c r="G39" s="2"/>
      <c r="H39" s="2"/>
      <c r="I39" s="2"/>
      <c r="J39" s="2"/>
      <c r="K39" s="2"/>
      <c r="L39" s="2"/>
      <c r="M39" s="2"/>
      <c r="N39" s="2"/>
      <c r="S39" s="202"/>
      <c r="T39" s="202"/>
      <c r="AM39" s="4"/>
      <c r="AN39" s="4"/>
      <c r="AQ39" s="513"/>
      <c r="AR39" s="4"/>
      <c r="AS39" s="4"/>
      <c r="AT39" s="513"/>
      <c r="AU39" s="513"/>
    </row>
    <row r="40" spans="1:47" ht="20.100000000000001" customHeight="1"/>
    <row r="41" spans="1:47" ht="20.100000000000001" customHeight="1"/>
    <row r="42" spans="1:47" ht="20.100000000000001" customHeight="1"/>
    <row r="43" spans="1:47" ht="20.100000000000001" customHeight="1"/>
    <row r="44" spans="1:47" ht="20.100000000000001" customHeight="1"/>
    <row r="45" spans="1:47" ht="20.100000000000001" customHeight="1"/>
    <row r="46" spans="1:47" ht="20.100000000000001" customHeight="1"/>
    <row r="47" spans="1:47" ht="20.100000000000001" customHeight="1"/>
    <row r="48" spans="1:47" ht="20.100000000000001" customHeight="1"/>
    <row r="49" spans="3:45" ht="20.100000000000001" customHeight="1"/>
    <row r="50" spans="3:45" ht="20.100000000000001" customHeight="1"/>
    <row r="51" spans="3:45" s="1" customFormat="1" ht="20.100000000000001" customHeight="1">
      <c r="C51" s="2"/>
      <c r="D51" s="2"/>
      <c r="E51" s="2"/>
      <c r="F51" s="2"/>
      <c r="G51" s="2"/>
      <c r="H51" s="2"/>
      <c r="I51" s="2"/>
      <c r="J51" s="2"/>
      <c r="K51" s="2"/>
      <c r="L51" s="2"/>
      <c r="M51" s="2"/>
      <c r="N51" s="2"/>
      <c r="O51" s="2"/>
      <c r="P51" s="2"/>
      <c r="Q51" s="2"/>
      <c r="R51" s="2"/>
      <c r="S51" s="4"/>
      <c r="T51" s="4"/>
      <c r="U51" s="2"/>
      <c r="V51" s="2"/>
      <c r="W51" s="2"/>
      <c r="X51" s="2"/>
      <c r="Y51" s="2"/>
      <c r="Z51" s="2"/>
      <c r="AA51" s="2"/>
      <c r="AB51" s="2"/>
      <c r="AC51" s="2"/>
      <c r="AD51" s="2"/>
      <c r="AE51" s="2"/>
      <c r="AF51" s="2"/>
      <c r="AG51" s="2"/>
      <c r="AH51" s="2"/>
      <c r="AI51" s="2"/>
      <c r="AJ51" s="2"/>
      <c r="AK51" s="2"/>
      <c r="AM51" s="4"/>
      <c r="AN51" s="4"/>
      <c r="AR51" s="4"/>
      <c r="AS51" s="4"/>
    </row>
    <row r="52" spans="3:45" s="1" customFormat="1" ht="20.100000000000001" customHeight="1">
      <c r="C52" s="2"/>
      <c r="D52" s="2"/>
      <c r="E52" s="2"/>
      <c r="F52" s="2"/>
      <c r="G52" s="2"/>
      <c r="H52" s="2"/>
      <c r="I52" s="2"/>
      <c r="J52" s="2"/>
      <c r="K52" s="2"/>
      <c r="L52" s="2"/>
      <c r="M52" s="2"/>
      <c r="N52" s="2"/>
      <c r="O52" s="2"/>
      <c r="P52" s="2"/>
      <c r="Q52" s="2"/>
      <c r="R52" s="2"/>
      <c r="S52" s="4"/>
      <c r="T52" s="4"/>
      <c r="U52" s="2"/>
      <c r="V52" s="2"/>
      <c r="W52" s="2"/>
      <c r="X52" s="2"/>
      <c r="Y52" s="2"/>
      <c r="Z52" s="2"/>
      <c r="AA52" s="2"/>
      <c r="AB52" s="2"/>
      <c r="AC52" s="2"/>
      <c r="AD52" s="2"/>
      <c r="AE52" s="2"/>
      <c r="AF52" s="2"/>
      <c r="AG52" s="2"/>
      <c r="AH52" s="2"/>
      <c r="AI52" s="2"/>
      <c r="AJ52" s="2"/>
      <c r="AK52" s="2"/>
      <c r="AM52" s="4"/>
      <c r="AN52" s="4"/>
      <c r="AR52" s="4"/>
      <c r="AS52" s="4"/>
    </row>
    <row r="53" spans="3:45" s="1" customFormat="1" ht="20.100000000000001" customHeight="1">
      <c r="C53" s="2"/>
      <c r="D53" s="2"/>
      <c r="E53" s="2"/>
      <c r="F53" s="2"/>
      <c r="G53" s="2"/>
      <c r="H53" s="2"/>
      <c r="I53" s="2"/>
      <c r="J53" s="2"/>
      <c r="K53" s="2"/>
      <c r="L53" s="2"/>
      <c r="M53" s="2"/>
      <c r="N53" s="2"/>
      <c r="O53" s="2"/>
      <c r="P53" s="2"/>
      <c r="Q53" s="2"/>
      <c r="R53" s="2"/>
      <c r="S53" s="4"/>
      <c r="T53" s="4"/>
      <c r="U53" s="2"/>
      <c r="V53" s="2"/>
      <c r="W53" s="2"/>
      <c r="X53" s="2"/>
      <c r="Y53" s="2"/>
      <c r="Z53" s="2"/>
      <c r="AA53" s="2"/>
      <c r="AB53" s="2"/>
      <c r="AC53" s="2"/>
      <c r="AD53" s="2"/>
      <c r="AE53" s="2"/>
      <c r="AF53" s="2"/>
      <c r="AG53" s="2"/>
      <c r="AH53" s="2"/>
      <c r="AI53" s="2"/>
      <c r="AJ53" s="2"/>
      <c r="AK53" s="2"/>
      <c r="AM53" s="4"/>
      <c r="AN53" s="4"/>
      <c r="AR53" s="4"/>
      <c r="AS53" s="4"/>
    </row>
    <row r="54" spans="3:45" s="1" customFormat="1" ht="20.100000000000001" customHeight="1">
      <c r="C54" s="2"/>
      <c r="D54" s="2"/>
      <c r="E54" s="2"/>
      <c r="F54" s="2"/>
      <c r="G54" s="2"/>
      <c r="H54" s="2"/>
      <c r="I54" s="2"/>
      <c r="J54" s="2"/>
      <c r="K54" s="2"/>
      <c r="L54" s="2"/>
      <c r="M54" s="2"/>
      <c r="N54" s="2"/>
      <c r="O54" s="2"/>
      <c r="P54" s="2"/>
      <c r="Q54" s="2"/>
      <c r="R54" s="2"/>
      <c r="S54" s="4"/>
      <c r="T54" s="4"/>
      <c r="U54" s="2"/>
      <c r="V54" s="2"/>
      <c r="W54" s="2"/>
      <c r="X54" s="2"/>
      <c r="Y54" s="2"/>
      <c r="Z54" s="2"/>
      <c r="AA54" s="2"/>
      <c r="AB54" s="2"/>
      <c r="AC54" s="2"/>
      <c r="AD54" s="2"/>
      <c r="AE54" s="2"/>
      <c r="AF54" s="2"/>
      <c r="AG54" s="2"/>
      <c r="AH54" s="2"/>
      <c r="AI54" s="2"/>
      <c r="AJ54" s="2"/>
      <c r="AK54" s="2"/>
      <c r="AM54" s="4"/>
      <c r="AN54" s="4"/>
      <c r="AR54" s="4"/>
      <c r="AS54" s="4"/>
    </row>
    <row r="55" spans="3:45" s="1" customFormat="1" ht="20.100000000000001" customHeight="1">
      <c r="C55" s="2"/>
      <c r="D55" s="2"/>
      <c r="E55" s="2"/>
      <c r="F55" s="2"/>
      <c r="G55" s="2"/>
      <c r="H55" s="2"/>
      <c r="I55" s="2"/>
      <c r="J55" s="2"/>
      <c r="K55" s="2"/>
      <c r="L55" s="2"/>
      <c r="M55" s="2"/>
      <c r="N55" s="2"/>
      <c r="O55" s="2"/>
      <c r="P55" s="2"/>
      <c r="Q55" s="2"/>
      <c r="R55" s="2"/>
      <c r="S55" s="4"/>
      <c r="T55" s="4"/>
      <c r="U55" s="2"/>
      <c r="V55" s="2"/>
      <c r="W55" s="2"/>
      <c r="X55" s="2"/>
      <c r="Y55" s="2"/>
      <c r="Z55" s="2"/>
      <c r="AA55" s="2"/>
      <c r="AB55" s="2"/>
      <c r="AC55" s="2"/>
      <c r="AD55" s="2"/>
      <c r="AE55" s="2"/>
      <c r="AF55" s="2"/>
      <c r="AG55" s="2"/>
      <c r="AH55" s="2"/>
      <c r="AI55" s="2"/>
      <c r="AJ55" s="2"/>
      <c r="AK55" s="2"/>
      <c r="AM55" s="4"/>
      <c r="AN55" s="4"/>
      <c r="AR55" s="4"/>
      <c r="AS55" s="4"/>
    </row>
    <row r="56" spans="3:45" s="1" customFormat="1" ht="20.100000000000001" customHeight="1">
      <c r="C56" s="2"/>
      <c r="D56" s="2"/>
      <c r="E56" s="2"/>
      <c r="F56" s="2"/>
      <c r="G56" s="2"/>
      <c r="H56" s="2"/>
      <c r="I56" s="2"/>
      <c r="J56" s="2"/>
      <c r="K56" s="2"/>
      <c r="L56" s="2"/>
      <c r="M56" s="2"/>
      <c r="N56" s="2"/>
      <c r="O56" s="2"/>
      <c r="P56" s="2"/>
      <c r="Q56" s="2"/>
      <c r="R56" s="2"/>
      <c r="S56" s="4"/>
      <c r="T56" s="4"/>
      <c r="U56" s="2"/>
      <c r="V56" s="2"/>
      <c r="W56" s="2"/>
      <c r="X56" s="2"/>
      <c r="Y56" s="2"/>
      <c r="Z56" s="2"/>
      <c r="AA56" s="2"/>
      <c r="AB56" s="2"/>
      <c r="AC56" s="2"/>
      <c r="AD56" s="2"/>
      <c r="AE56" s="2"/>
      <c r="AF56" s="2"/>
      <c r="AG56" s="2"/>
      <c r="AH56" s="2"/>
      <c r="AI56" s="2"/>
      <c r="AJ56" s="2"/>
      <c r="AK56" s="2"/>
      <c r="AM56" s="4"/>
      <c r="AN56" s="4"/>
      <c r="AR56" s="4"/>
      <c r="AS56" s="4"/>
    </row>
  </sheetData>
  <mergeCells count="21">
    <mergeCell ref="AP3:AP4"/>
    <mergeCell ref="AG3:AJ3"/>
    <mergeCell ref="AK3:AK4"/>
    <mergeCell ref="AB3:AE3"/>
    <mergeCell ref="AF3:AF4"/>
    <mergeCell ref="AQ3:AT3"/>
    <mergeCell ref="AU3:AU4"/>
    <mergeCell ref="B3:B4"/>
    <mergeCell ref="A2:O2"/>
    <mergeCell ref="A3:A4"/>
    <mergeCell ref="C3:F3"/>
    <mergeCell ref="G3:G4"/>
    <mergeCell ref="H3:K3"/>
    <mergeCell ref="L3:L4"/>
    <mergeCell ref="M3:P3"/>
    <mergeCell ref="AA3:AA4"/>
    <mergeCell ref="W3:Z3"/>
    <mergeCell ref="V3:V4"/>
    <mergeCell ref="R3:U3"/>
    <mergeCell ref="Q3:Q4"/>
    <mergeCell ref="AL3:AO3"/>
  </mergeCells>
  <pageMargins left="0.7" right="0.7" top="0.75" bottom="0.75" header="0.3" footer="0.3"/>
  <pageSetup paperSize="9" scale="53" orientation="landscape" horizontalDpi="4294967294" r:id="rId1"/>
  <ignoredErrors>
    <ignoredError sqref="G7 L7" formula="1"/>
    <ignoredError sqref="M24:U24 H24:K24 W24:Z24 AB24:AE24 AG24:AQ24"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5</vt:i4>
      </vt:variant>
      <vt:variant>
        <vt:lpstr>Zakresy nazwane</vt:lpstr>
      </vt:variant>
      <vt:variant>
        <vt:i4>5</vt:i4>
      </vt:variant>
    </vt:vector>
  </HeadingPairs>
  <TitlesOfParts>
    <vt:vector size="10" baseType="lpstr">
      <vt:lpstr>P&amp;L</vt:lpstr>
      <vt:lpstr>Segments</vt:lpstr>
      <vt:lpstr>Balance sheet</vt:lpstr>
      <vt:lpstr>Cash Flow</vt:lpstr>
      <vt:lpstr>KPI_segment B2B&amp;B2C</vt:lpstr>
      <vt:lpstr>'Balance sheet'!Obszar_wydruku</vt:lpstr>
      <vt:lpstr>'Cash Flow'!Obszar_wydruku</vt:lpstr>
      <vt:lpstr>'KPI_segment B2B&amp;B2C'!Obszar_wydruku</vt:lpstr>
      <vt:lpstr>'P&amp;L'!Obszar_wydruku</vt:lpstr>
      <vt:lpstr>'Cash Flow'!OLE_LINK3</vt:lpstr>
    </vt:vector>
  </TitlesOfParts>
  <Company>Your Company Name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Your User Name</dc:creator>
  <cp:lastModifiedBy>egieniusz</cp:lastModifiedBy>
  <cp:lastPrinted>2015-11-10T12:34:56Z</cp:lastPrinted>
  <dcterms:created xsi:type="dcterms:W3CDTF">2008-08-25T12:12:22Z</dcterms:created>
  <dcterms:modified xsi:type="dcterms:W3CDTF">2020-05-13T14:35:36Z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