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985" yWindow="45" windowWidth="12030" windowHeight="8250"/>
  </bookViews>
  <sheets>
    <sheet name="Skonsolidowany P&amp;L" sheetId="16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TV'!$C$39</definedName>
    <definedName name="_Toc377043860" localSheetId="5">'KPI - segment TV'!$D$39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TV'!$A$1:$E$69</definedName>
    <definedName name="_xlnm.Print_Area" localSheetId="4">'KPI_segment B2B&amp;B2C'!$A$1:$S$37</definedName>
    <definedName name="_xlnm.Print_Area" localSheetId="2">'Skonsolidowant bilans'!$A$1:$Q$69</definedName>
    <definedName name="_xlnm.Print_Area" localSheetId="3">'Skonsolidowany CF'!$A$1:$Q$60</definedName>
    <definedName name="_xlnm.Print_Area" localSheetId="0">'Skonsolidowany P&amp;L'!$A$3:$S$39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E52" i="15" l="1"/>
  <c r="E53" i="15"/>
  <c r="E54" i="15"/>
  <c r="E55" i="15"/>
  <c r="E56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V49" i="6"/>
  <c r="K19" i="16" l="1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A9" i="16"/>
  <c r="Z10" i="16"/>
  <c r="AA28" i="14"/>
  <c r="AA23" i="14"/>
  <c r="AA16" i="14"/>
  <c r="AA7" i="14"/>
  <c r="V51" i="6"/>
  <c r="V40" i="6"/>
  <c r="V5" i="6"/>
  <c r="V62" i="4"/>
  <c r="V52" i="4"/>
  <c r="V41" i="4"/>
  <c r="V43" i="4" s="1"/>
  <c r="V30" i="4"/>
  <c r="V18" i="4"/>
  <c r="AA4" i="16"/>
  <c r="AA5" i="14" l="1"/>
  <c r="V63" i="4"/>
  <c r="V64" i="4" s="1"/>
  <c r="V31" i="4"/>
  <c r="AA19" i="16"/>
  <c r="AA23" i="16" s="1"/>
  <c r="AA25" i="16" s="1"/>
  <c r="O10" i="13"/>
  <c r="M10" i="13"/>
  <c r="H10" i="13"/>
  <c r="C10" i="13"/>
  <c r="AA28" i="16" l="1"/>
  <c r="V4" i="6"/>
  <c r="V24" i="6" s="1"/>
  <c r="V27" i="6" s="1"/>
  <c r="V52" i="6" s="1"/>
  <c r="AA30" i="16"/>
  <c r="AA31" i="16" s="1"/>
  <c r="Z15" i="14"/>
  <c r="S9" i="13" l="1"/>
  <c r="R9" i="13"/>
  <c r="Q9" i="13"/>
  <c r="L9" i="13"/>
  <c r="G9" i="13"/>
  <c r="J10" i="13"/>
  <c r="E10" i="13"/>
  <c r="Z27" i="16"/>
  <c r="Z26" i="16"/>
  <c r="Z24" i="16"/>
  <c r="P24" i="16"/>
  <c r="K24" i="16"/>
  <c r="F24" i="16"/>
  <c r="Z22" i="16"/>
  <c r="P22" i="16"/>
  <c r="K22" i="16"/>
  <c r="F22" i="16"/>
  <c r="Z21" i="16"/>
  <c r="P21" i="16"/>
  <c r="K21" i="16"/>
  <c r="F21" i="16"/>
  <c r="Z20" i="16"/>
  <c r="P20" i="16"/>
  <c r="K20" i="16"/>
  <c r="F20" i="16"/>
  <c r="Z18" i="16"/>
  <c r="P18" i="16"/>
  <c r="K18" i="16"/>
  <c r="F18" i="16"/>
  <c r="Z17" i="16"/>
  <c r="P17" i="16"/>
  <c r="K17" i="16"/>
  <c r="F17" i="16"/>
  <c r="Z16" i="16"/>
  <c r="P16" i="16"/>
  <c r="K16" i="16"/>
  <c r="F16" i="16"/>
  <c r="Z12" i="16"/>
  <c r="P12" i="16"/>
  <c r="K12" i="16"/>
  <c r="F12" i="16"/>
  <c r="Z15" i="16"/>
  <c r="P15" i="16"/>
  <c r="K15" i="16"/>
  <c r="F15" i="16"/>
  <c r="P10" i="16"/>
  <c r="K10" i="16"/>
  <c r="F10" i="16"/>
  <c r="Z11" i="16"/>
  <c r="P11" i="16"/>
  <c r="K11" i="16"/>
  <c r="F11" i="16"/>
  <c r="Z14" i="16"/>
  <c r="P14" i="16"/>
  <c r="K14" i="16"/>
  <c r="F14" i="16"/>
  <c r="Z13" i="16"/>
  <c r="P13" i="16"/>
  <c r="K13" i="16"/>
  <c r="F13" i="16"/>
  <c r="Z8" i="16"/>
  <c r="P8" i="16"/>
  <c r="K8" i="16"/>
  <c r="F8" i="16"/>
  <c r="Z7" i="16"/>
  <c r="P7" i="16"/>
  <c r="K7" i="16"/>
  <c r="F7" i="16"/>
  <c r="Z6" i="16"/>
  <c r="P6" i="16"/>
  <c r="K6" i="16"/>
  <c r="F6" i="16"/>
  <c r="Z5" i="16"/>
  <c r="Z4" i="16" s="1"/>
  <c r="P5" i="16"/>
  <c r="P4" i="16" s="1"/>
  <c r="K5" i="16"/>
  <c r="K4" i="16" s="1"/>
  <c r="F5" i="16"/>
  <c r="F4" i="16" s="1"/>
  <c r="Y4" i="16"/>
  <c r="X4" i="16"/>
  <c r="W4" i="16"/>
  <c r="V4" i="16"/>
  <c r="U4" i="16"/>
  <c r="T4" i="16"/>
  <c r="S4" i="16"/>
  <c r="R4" i="16"/>
  <c r="Q4" i="16"/>
  <c r="O4" i="16"/>
  <c r="N4" i="16"/>
  <c r="M4" i="16"/>
  <c r="L4" i="16"/>
  <c r="J4" i="16"/>
  <c r="I4" i="16"/>
  <c r="H4" i="16"/>
  <c r="G4" i="16"/>
  <c r="E4" i="16"/>
  <c r="D4" i="16"/>
  <c r="C4" i="16"/>
  <c r="B4" i="16"/>
  <c r="T9" i="13" l="1"/>
  <c r="B19" i="16"/>
  <c r="B23" i="16" s="1"/>
  <c r="B25" i="16" s="1"/>
  <c r="L19" i="16"/>
  <c r="L30" i="16" s="1"/>
  <c r="L31" i="16" s="1"/>
  <c r="T19" i="16"/>
  <c r="T23" i="16" s="1"/>
  <c r="T25" i="16" s="1"/>
  <c r="Y19" i="16"/>
  <c r="Y30" i="16" s="1"/>
  <c r="Y31" i="16" s="1"/>
  <c r="C19" i="16"/>
  <c r="C30" i="16" s="1"/>
  <c r="C31" i="16" s="1"/>
  <c r="D19" i="16"/>
  <c r="D30" i="16" s="1"/>
  <c r="D31" i="16" s="1"/>
  <c r="N19" i="16"/>
  <c r="N30" i="16" s="1"/>
  <c r="N31" i="16" s="1"/>
  <c r="E19" i="16"/>
  <c r="E23" i="16" s="1"/>
  <c r="E25" i="16" s="1"/>
  <c r="O19" i="16"/>
  <c r="O23" i="16" s="1"/>
  <c r="O25" i="16" s="1"/>
  <c r="M19" i="16"/>
  <c r="M30" i="16" s="1"/>
  <c r="M31" i="16" s="1"/>
  <c r="P19" i="16"/>
  <c r="P23" i="16" s="1"/>
  <c r="P25" i="16" s="1"/>
  <c r="G10" i="13"/>
  <c r="H19" i="16"/>
  <c r="H30" i="16" s="1"/>
  <c r="H31" i="16" s="1"/>
  <c r="Q19" i="16"/>
  <c r="Q23" i="16" s="1"/>
  <c r="Q25" i="16" s="1"/>
  <c r="U19" i="16"/>
  <c r="U23" i="16" s="1"/>
  <c r="U25" i="16" s="1"/>
  <c r="Q4" i="6" s="1"/>
  <c r="R19" i="16"/>
  <c r="R30" i="16" s="1"/>
  <c r="R31" i="16" s="1"/>
  <c r="V19" i="16"/>
  <c r="V30" i="16" s="1"/>
  <c r="V31" i="16" s="1"/>
  <c r="Z19" i="16"/>
  <c r="Z30" i="16" s="1"/>
  <c r="Z31" i="16" s="1"/>
  <c r="F19" i="16"/>
  <c r="F23" i="16" s="1"/>
  <c r="F25" i="16" s="1"/>
  <c r="J19" i="16"/>
  <c r="J23" i="16" s="1"/>
  <c r="J25" i="16" s="1"/>
  <c r="S19" i="16"/>
  <c r="S23" i="16" s="1"/>
  <c r="S25" i="16" s="1"/>
  <c r="W19" i="16"/>
  <c r="W30" i="16" s="1"/>
  <c r="W31" i="16" s="1"/>
  <c r="X19" i="16"/>
  <c r="X30" i="16" s="1"/>
  <c r="X31" i="16" s="1"/>
  <c r="B30" i="16"/>
  <c r="B31" i="16" s="1"/>
  <c r="M23" i="16"/>
  <c r="M25" i="16" s="1"/>
  <c r="U30" i="16"/>
  <c r="U31" i="16" s="1"/>
  <c r="Y23" i="16"/>
  <c r="Y25" i="16" s="1"/>
  <c r="Y28" i="16" s="1"/>
  <c r="I19" i="16"/>
  <c r="O30" i="16"/>
  <c r="O31" i="16" s="1"/>
  <c r="C23" i="16"/>
  <c r="C25" i="16" s="1"/>
  <c r="G19" i="16"/>
  <c r="D23" i="16" l="1"/>
  <c r="D25" i="16" s="1"/>
  <c r="P30" i="16"/>
  <c r="P31" i="16" s="1"/>
  <c r="L23" i="16"/>
  <c r="L25" i="16" s="1"/>
  <c r="L26" i="16" s="1"/>
  <c r="N23" i="16"/>
  <c r="N25" i="16" s="1"/>
  <c r="N26" i="16" s="1"/>
  <c r="T30" i="16"/>
  <c r="T31" i="16" s="1"/>
  <c r="E30" i="16"/>
  <c r="E31" i="16" s="1"/>
  <c r="S30" i="16"/>
  <c r="S31" i="16" s="1"/>
  <c r="K4" i="6"/>
  <c r="W23" i="16"/>
  <c r="W25" i="16" s="1"/>
  <c r="W28" i="16" s="1"/>
  <c r="Q30" i="16"/>
  <c r="Q31" i="16" s="1"/>
  <c r="Z23" i="16"/>
  <c r="Z25" i="16" s="1"/>
  <c r="Z28" i="16" s="1"/>
  <c r="F30" i="16"/>
  <c r="F31" i="16" s="1"/>
  <c r="J30" i="16"/>
  <c r="J31" i="16" s="1"/>
  <c r="X23" i="16"/>
  <c r="X25" i="16" s="1"/>
  <c r="X28" i="16" s="1"/>
  <c r="H23" i="16"/>
  <c r="H25" i="16" s="1"/>
  <c r="H28" i="16" s="1"/>
  <c r="V23" i="16"/>
  <c r="V25" i="16" s="1"/>
  <c r="R23" i="16"/>
  <c r="R25" i="16" s="1"/>
  <c r="R28" i="16" s="1"/>
  <c r="Q26" i="16"/>
  <c r="Q28" i="16"/>
  <c r="S28" i="16"/>
  <c r="S26" i="16"/>
  <c r="F26" i="16"/>
  <c r="F28" i="16"/>
  <c r="K30" i="16"/>
  <c r="K31" i="16" s="1"/>
  <c r="K23" i="16"/>
  <c r="K25" i="16" s="1"/>
  <c r="T28" i="16"/>
  <c r="T26" i="16"/>
  <c r="L28" i="16"/>
  <c r="I30" i="16"/>
  <c r="I31" i="16" s="1"/>
  <c r="I23" i="16"/>
  <c r="I25" i="16" s="1"/>
  <c r="G30" i="16"/>
  <c r="G31" i="16" s="1"/>
  <c r="G23" i="16"/>
  <c r="G25" i="16" s="1"/>
  <c r="E26" i="16"/>
  <c r="E28" i="16"/>
  <c r="U26" i="16"/>
  <c r="U28" i="16"/>
  <c r="M26" i="16"/>
  <c r="M28" i="16"/>
  <c r="J26" i="16"/>
  <c r="J28" i="16"/>
  <c r="B26" i="16"/>
  <c r="B28" i="16"/>
  <c r="P28" i="16"/>
  <c r="P26" i="16"/>
  <c r="C28" i="16"/>
  <c r="C26" i="16"/>
  <c r="O28" i="16"/>
  <c r="O26" i="16"/>
  <c r="D28" i="16"/>
  <c r="D26" i="16"/>
  <c r="N28" i="16" l="1"/>
  <c r="U4" i="6"/>
  <c r="R26" i="16"/>
  <c r="V28" i="16"/>
  <c r="S4" i="6"/>
  <c r="T4" i="6" s="1"/>
  <c r="R4" i="6"/>
  <c r="H26" i="16"/>
  <c r="P4" i="6"/>
  <c r="G28" i="16"/>
  <c r="G26" i="16"/>
  <c r="I26" i="16"/>
  <c r="I28" i="16"/>
  <c r="K28" i="16"/>
  <c r="K26" i="16"/>
  <c r="E51" i="15" l="1"/>
  <c r="E41" i="15"/>
  <c r="E31" i="15"/>
  <c r="Z28" i="14"/>
  <c r="Y28" i="14"/>
  <c r="Z26" i="14"/>
  <c r="Z25" i="14"/>
  <c r="Z24" i="14"/>
  <c r="Y23" i="14"/>
  <c r="Z16" i="14"/>
  <c r="Y16" i="14"/>
  <c r="Z12" i="14"/>
  <c r="Z11" i="14"/>
  <c r="Z10" i="14"/>
  <c r="Z9" i="14"/>
  <c r="Z8" i="14"/>
  <c r="Y7" i="14"/>
  <c r="U51" i="6"/>
  <c r="U40" i="6"/>
  <c r="U5" i="6"/>
  <c r="U62" i="4"/>
  <c r="U52" i="4"/>
  <c r="U41" i="4"/>
  <c r="U43" i="4" s="1"/>
  <c r="U30" i="4"/>
  <c r="U18" i="4"/>
  <c r="Z23" i="14" l="1"/>
  <c r="Z7" i="14"/>
  <c r="Z5" i="14" s="1"/>
  <c r="Y5" i="14"/>
  <c r="U24" i="6"/>
  <c r="U27" i="6" s="1"/>
  <c r="U52" i="6" s="1"/>
  <c r="U63" i="4"/>
  <c r="U64" i="4" s="1"/>
  <c r="U31" i="4"/>
  <c r="L12" i="13" l="1"/>
  <c r="C7" i="13"/>
  <c r="E61" i="15"/>
  <c r="X28" i="14" l="1"/>
  <c r="X23" i="14"/>
  <c r="X16" i="14"/>
  <c r="X7" i="14"/>
  <c r="T51" i="6"/>
  <c r="T40" i="6"/>
  <c r="T5" i="6"/>
  <c r="T62" i="4"/>
  <c r="T52" i="4"/>
  <c r="T41" i="4"/>
  <c r="T43" i="4" s="1"/>
  <c r="T30" i="4"/>
  <c r="T18" i="4"/>
  <c r="X5" i="14" l="1"/>
  <c r="T63" i="4"/>
  <c r="T64" i="4"/>
  <c r="T31" i="4"/>
  <c r="T24" i="6"/>
  <c r="T27" i="6" s="1"/>
  <c r="T52" i="6" s="1"/>
  <c r="E7" i="13" l="1"/>
  <c r="W28" i="14" l="1"/>
  <c r="W23" i="14"/>
  <c r="W16" i="14"/>
  <c r="W7" i="14"/>
  <c r="S51" i="6"/>
  <c r="S40" i="6"/>
  <c r="S5" i="6"/>
  <c r="S62" i="4"/>
  <c r="S52" i="4"/>
  <c r="S41" i="4"/>
  <c r="S43" i="4" s="1"/>
  <c r="S30" i="4"/>
  <c r="S18" i="4"/>
  <c r="W5" i="14" l="1"/>
  <c r="S63" i="4"/>
  <c r="S64" i="4" s="1"/>
  <c r="S31" i="4"/>
  <c r="B5" i="4"/>
  <c r="G14" i="13" l="1"/>
  <c r="V28" i="14" l="1"/>
  <c r="V23" i="14"/>
  <c r="V16" i="14"/>
  <c r="V7" i="14"/>
  <c r="R51" i="6"/>
  <c r="R40" i="6"/>
  <c r="R5" i="6"/>
  <c r="R62" i="4"/>
  <c r="R52" i="4"/>
  <c r="R41" i="4"/>
  <c r="R43" i="4" s="1"/>
  <c r="R30" i="4"/>
  <c r="R18" i="4"/>
  <c r="Q12" i="13"/>
  <c r="O7" i="13"/>
  <c r="M7" i="13"/>
  <c r="J7" i="13"/>
  <c r="H7" i="13"/>
  <c r="S10" i="13" l="1"/>
  <c r="V5" i="14"/>
  <c r="R63" i="4"/>
  <c r="R64" i="4" s="1"/>
  <c r="R31" i="4"/>
  <c r="E7" i="15" l="1"/>
  <c r="E6" i="15"/>
  <c r="E5" i="15"/>
  <c r="E62" i="15"/>
  <c r="U25" i="14"/>
  <c r="U26" i="14"/>
  <c r="U24" i="14"/>
  <c r="U23" i="14" s="1"/>
  <c r="U12" i="14"/>
  <c r="U11" i="14"/>
  <c r="U10" i="14"/>
  <c r="U9" i="14"/>
  <c r="U8" i="14"/>
  <c r="T7" i="14"/>
  <c r="U28" i="14"/>
  <c r="T28" i="14"/>
  <c r="T23" i="14"/>
  <c r="U16" i="14"/>
  <c r="T16" i="14"/>
  <c r="Q51" i="6"/>
  <c r="Q40" i="6"/>
  <c r="Q5" i="6"/>
  <c r="Q62" i="4"/>
  <c r="Q52" i="4"/>
  <c r="Q41" i="4"/>
  <c r="Q43" i="4" s="1"/>
  <c r="Q30" i="4"/>
  <c r="Q18" i="4"/>
  <c r="U7" i="14" l="1"/>
  <c r="S24" i="6"/>
  <c r="S27" i="6" s="1"/>
  <c r="S52" i="6" s="1"/>
  <c r="R24" i="6"/>
  <c r="R27" i="6" s="1"/>
  <c r="R52" i="6" s="1"/>
  <c r="U5" i="14"/>
  <c r="E4" i="15"/>
  <c r="T5" i="14"/>
  <c r="Q63" i="4"/>
  <c r="Q64" i="4" s="1"/>
  <c r="Q31" i="4"/>
  <c r="Q24" i="6" l="1"/>
  <c r="Q27" i="6" s="1"/>
  <c r="Q52" i="6" s="1"/>
  <c r="Q55" i="6" s="1"/>
  <c r="U53" i="6" l="1"/>
  <c r="U55" i="6" s="1"/>
  <c r="V53" i="6" s="1"/>
  <c r="V55" i="6" s="1"/>
  <c r="T53" i="6"/>
  <c r="T55" i="6" s="1"/>
  <c r="S53" i="6"/>
  <c r="S55" i="6" s="1"/>
  <c r="R53" i="6"/>
  <c r="R55" i="6" s="1"/>
  <c r="G23" i="6"/>
  <c r="H23" i="6"/>
  <c r="E60" i="15" l="1"/>
  <c r="E59" i="15"/>
  <c r="E48" i="15"/>
  <c r="E58" i="15"/>
  <c r="E57" i="15"/>
  <c r="E50" i="15"/>
  <c r="E47" i="15"/>
  <c r="E49" i="15"/>
  <c r="E46" i="15"/>
  <c r="E45" i="15"/>
  <c r="E43" i="15"/>
  <c r="E44" i="15"/>
  <c r="E42" i="15"/>
  <c r="E40" i="15"/>
  <c r="E39" i="15"/>
  <c r="E38" i="15"/>
  <c r="K31" i="14" l="1"/>
  <c r="K30" i="14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K16" i="14" s="1"/>
  <c r="F17" i="14"/>
  <c r="S16" i="14"/>
  <c r="R16" i="14"/>
  <c r="Q16" i="14"/>
  <c r="P16" i="14"/>
  <c r="O16" i="14"/>
  <c r="N16" i="14"/>
  <c r="M16" i="14"/>
  <c r="L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F8" i="14"/>
  <c r="S7" i="14"/>
  <c r="R7" i="14"/>
  <c r="R5" i="14" s="1"/>
  <c r="Q7" i="14"/>
  <c r="Q15" i="14" s="1"/>
  <c r="P7" i="14"/>
  <c r="P5" i="14" s="1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L5" i="14"/>
  <c r="I5" i="14"/>
  <c r="K28" i="14" l="1"/>
  <c r="K7" i="14"/>
  <c r="K15" i="14" s="1"/>
  <c r="K23" i="14"/>
  <c r="H5" i="14"/>
  <c r="Q5" i="14"/>
  <c r="F16" i="14"/>
  <c r="K5" i="14"/>
  <c r="M5" i="14"/>
  <c r="G15" i="14"/>
  <c r="O5" i="14"/>
  <c r="S5" i="14"/>
  <c r="J5" i="14"/>
  <c r="B51" i="6" l="1"/>
  <c r="I51" i="6"/>
  <c r="J51" i="6"/>
  <c r="K51" i="6"/>
  <c r="L51" i="6"/>
  <c r="M51" i="6"/>
  <c r="N51" i="6"/>
  <c r="O51" i="6"/>
  <c r="P51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O30" i="4"/>
  <c r="P30" i="4"/>
  <c r="L26" i="4"/>
  <c r="L30" i="4" s="1"/>
  <c r="K26" i="4"/>
  <c r="K30" i="4" s="1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G30" i="4" l="1"/>
  <c r="B30" i="4"/>
  <c r="B52" i="4"/>
  <c r="T11" i="13"/>
  <c r="T8" i="13"/>
  <c r="T7" i="13"/>
  <c r="T6" i="13"/>
  <c r="T14" i="13"/>
  <c r="T10" i="13"/>
  <c r="T13" i="13"/>
  <c r="T5" i="13"/>
  <c r="J30" i="4"/>
  <c r="I30" i="4"/>
  <c r="H30" i="4"/>
  <c r="F30" i="4"/>
  <c r="E30" i="4"/>
  <c r="D30" i="4"/>
  <c r="C30" i="4"/>
  <c r="Q10" i="13"/>
  <c r="P40" i="6" l="1"/>
  <c r="P5" i="6"/>
  <c r="P62" i="4"/>
  <c r="P52" i="4"/>
  <c r="P41" i="4"/>
  <c r="P43" i="4" s="1"/>
  <c r="P18" i="4"/>
  <c r="P63" i="4" l="1"/>
  <c r="P64" i="4" s="1"/>
  <c r="P31" i="4"/>
  <c r="O40" i="6" l="1"/>
  <c r="O5" i="6"/>
  <c r="O24" i="6" s="1"/>
  <c r="O27" i="6" s="1"/>
  <c r="O52" i="4"/>
  <c r="O62" i="4"/>
  <c r="O41" i="4"/>
  <c r="O43" i="4" s="1"/>
  <c r="O18" i="4"/>
  <c r="N62" i="4"/>
  <c r="M62" i="4"/>
  <c r="N52" i="4"/>
  <c r="M52" i="4"/>
  <c r="N18" i="4"/>
  <c r="M18" i="4"/>
  <c r="N40" i="6"/>
  <c r="N5" i="6"/>
  <c r="N24" i="6" s="1"/>
  <c r="N27" i="6" s="1"/>
  <c r="N41" i="4"/>
  <c r="N43" i="4" s="1"/>
  <c r="O63" i="4" l="1"/>
  <c r="O52" i="6"/>
  <c r="O55" i="6" s="1"/>
  <c r="O31" i="4"/>
  <c r="N52" i="6"/>
  <c r="N55" i="6" s="1"/>
  <c r="N63" i="4"/>
  <c r="M40" i="6"/>
  <c r="M5" i="6"/>
  <c r="M41" i="4"/>
  <c r="M43" i="4" s="1"/>
  <c r="O64" i="4" l="1"/>
  <c r="P24" i="6"/>
  <c r="P27" i="6" s="1"/>
  <c r="P52" i="6" s="1"/>
  <c r="P55" i="6" s="1"/>
  <c r="N64" i="4"/>
  <c r="M63" i="4"/>
  <c r="L40" i="6"/>
  <c r="L5" i="6"/>
  <c r="L62" i="4"/>
  <c r="L52" i="4"/>
  <c r="L41" i="4"/>
  <c r="L43" i="4" s="1"/>
  <c r="L18" i="4"/>
  <c r="M64" i="4" l="1"/>
  <c r="L24" i="6"/>
  <c r="L27" i="6" s="1"/>
  <c r="L52" i="6" s="1"/>
  <c r="L55" i="6" s="1"/>
  <c r="L63" i="4"/>
  <c r="L31" i="4"/>
  <c r="L64" i="4" l="1"/>
  <c r="M24" i="6" l="1"/>
  <c r="D5" i="6"/>
  <c r="C5" i="6"/>
  <c r="B5" i="6"/>
  <c r="H46" i="6"/>
  <c r="H51" i="6" s="1"/>
  <c r="G46" i="6"/>
  <c r="G51" i="6" s="1"/>
  <c r="F46" i="6"/>
  <c r="F51" i="6" s="1"/>
  <c r="E46" i="6"/>
  <c r="E51" i="6" s="1"/>
  <c r="D46" i="6"/>
  <c r="D51" i="6" s="1"/>
  <c r="C46" i="6"/>
  <c r="C51" i="6" s="1"/>
  <c r="M27" i="6" l="1"/>
  <c r="I42" i="4"/>
  <c r="J42" i="4"/>
  <c r="H42" i="4"/>
  <c r="B40" i="6"/>
  <c r="C40" i="6"/>
  <c r="D40" i="6"/>
  <c r="E40" i="6"/>
  <c r="F40" i="6"/>
  <c r="G40" i="6"/>
  <c r="H40" i="6"/>
  <c r="I40" i="6"/>
  <c r="J40" i="6"/>
  <c r="K40" i="6"/>
  <c r="N21" i="4" l="1"/>
  <c r="N30" i="4" s="1"/>
  <c r="M21" i="4"/>
  <c r="M27" i="4"/>
  <c r="M52" i="6"/>
  <c r="K5" i="6"/>
  <c r="K62" i="4"/>
  <c r="K52" i="4"/>
  <c r="K41" i="4"/>
  <c r="K43" i="4" s="1"/>
  <c r="K18" i="4"/>
  <c r="M30" i="4" l="1"/>
  <c r="H41" i="4"/>
  <c r="H43" i="4" s="1"/>
  <c r="D62" i="4"/>
  <c r="C52" i="4"/>
  <c r="I62" i="4"/>
  <c r="G41" i="4"/>
  <c r="G43" i="4" s="1"/>
  <c r="H52" i="4"/>
  <c r="I41" i="4"/>
  <c r="I43" i="4" s="1"/>
  <c r="C62" i="4"/>
  <c r="E62" i="4"/>
  <c r="I52" i="4"/>
  <c r="F41" i="4"/>
  <c r="F43" i="4" s="1"/>
  <c r="D41" i="4"/>
  <c r="D43" i="4" s="1"/>
  <c r="J62" i="4"/>
  <c r="E52" i="4"/>
  <c r="B41" i="4"/>
  <c r="B43" i="4" s="1"/>
  <c r="D52" i="4"/>
  <c r="G62" i="4"/>
  <c r="F62" i="4"/>
  <c r="J52" i="4"/>
  <c r="G52" i="4"/>
  <c r="B62" i="4"/>
  <c r="E41" i="4"/>
  <c r="E43" i="4" s="1"/>
  <c r="J18" i="4"/>
  <c r="H62" i="4"/>
  <c r="F52" i="4"/>
  <c r="C41" i="4"/>
  <c r="C43" i="4" s="1"/>
  <c r="J41" i="4"/>
  <c r="J43" i="4" s="1"/>
  <c r="M55" i="6"/>
  <c r="F18" i="4"/>
  <c r="E18" i="4"/>
  <c r="G18" i="4"/>
  <c r="B18" i="4"/>
  <c r="H18" i="4"/>
  <c r="I18" i="4"/>
  <c r="D18" i="4"/>
  <c r="C18" i="4"/>
  <c r="K31" i="4"/>
  <c r="K63" i="4"/>
  <c r="D63" i="4" l="1"/>
  <c r="H63" i="4"/>
  <c r="H64" i="4" s="1"/>
  <c r="B63" i="4"/>
  <c r="B64" i="4" s="1"/>
  <c r="J63" i="4"/>
  <c r="J64" i="4" s="1"/>
  <c r="I63" i="4"/>
  <c r="I64" i="4" s="1"/>
  <c r="F31" i="4"/>
  <c r="E63" i="4"/>
  <c r="E64" i="4" s="1"/>
  <c r="C63" i="4"/>
  <c r="C64" i="4" s="1"/>
  <c r="D64" i="4"/>
  <c r="G63" i="4"/>
  <c r="G64" i="4" s="1"/>
  <c r="I31" i="4"/>
  <c r="N31" i="4"/>
  <c r="F63" i="4"/>
  <c r="F64" i="4" s="1"/>
  <c r="G31" i="4"/>
  <c r="M31" i="4"/>
  <c r="D31" i="4"/>
  <c r="C31" i="4"/>
  <c r="K64" i="4"/>
  <c r="B31" i="4"/>
  <c r="E31" i="4"/>
  <c r="J31" i="4"/>
  <c r="H31" i="4"/>
  <c r="K24" i="6" l="1"/>
  <c r="K27" i="6" s="1"/>
  <c r="K52" i="6" s="1"/>
  <c r="K55" i="6" s="1"/>
  <c r="C24" i="6" l="1"/>
  <c r="C27" i="6" s="1"/>
  <c r="C52" i="6" l="1"/>
  <c r="C55" i="6" s="1"/>
  <c r="E5" i="6" l="1"/>
  <c r="E24" i="6" s="1"/>
  <c r="E27" i="6" s="1"/>
  <c r="E52" i="6" s="1"/>
  <c r="E55" i="6" s="1"/>
  <c r="J5" i="6"/>
  <c r="J24" i="6" s="1"/>
  <c r="J27" i="6" s="1"/>
  <c r="J52" i="6" s="1"/>
  <c r="J55" i="6" s="1"/>
  <c r="B24" i="6"/>
  <c r="B27" i="6" s="1"/>
  <c r="B52" i="6" s="1"/>
  <c r="B55" i="6" s="1"/>
  <c r="F5" i="6"/>
  <c r="F24" i="6" s="1"/>
  <c r="F27" i="6" s="1"/>
  <c r="F52" i="6" s="1"/>
  <c r="F55" i="6" s="1"/>
  <c r="G5" i="6"/>
  <c r="G24" i="6" s="1"/>
  <c r="G27" i="6" s="1"/>
  <c r="G52" i="6" s="1"/>
  <c r="G55" i="6" s="1"/>
  <c r="D24" i="6"/>
  <c r="D27" i="6" s="1"/>
  <c r="D52" i="6" s="1"/>
  <c r="D55" i="6" s="1"/>
  <c r="I5" i="6"/>
  <c r="I24" i="6" s="1"/>
  <c r="I27" i="6" s="1"/>
  <c r="I52" i="6" s="1"/>
  <c r="I55" i="6" s="1"/>
  <c r="H5" i="6"/>
  <c r="H24" i="6" s="1"/>
  <c r="H27" i="6" s="1"/>
  <c r="H52" i="6" s="1"/>
  <c r="H55" i="6" s="1"/>
</calcChain>
</file>

<file path=xl/sharedStrings.xml><?xml version="1.0" encoding="utf-8"?>
<sst xmlns="http://schemas.openxmlformats.org/spreadsheetml/2006/main" count="472" uniqueCount="249">
  <si>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</si>
  <si>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</si>
  <si>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</si>
  <si>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</si>
  <si>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</si>
  <si>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</si>
  <si>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</si>
  <si>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</si>
  <si>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</si>
  <si>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</si>
  <si>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</si>
  <si>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</si>
  <si>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</si>
  <si>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</si>
  <si>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</si>
  <si>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</si>
  <si>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</si>
  <si>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</si>
  <si>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</si>
  <si>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</si>
  <si>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</si>
  <si>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</si>
  <si>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</si>
  <si>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</si>
  <si>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</si>
  <si>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</si>
  <si>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</si>
  <si>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</si>
  <si>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</si>
  <si>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</si>
  <si>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</si>
  <si>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</si>
  <si>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</si>
  <si>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</si>
  <si>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</si>
  <si>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</si>
  <si>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</si>
  <si>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</si>
  <si>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</si>
  <si>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</si>
  <si>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</si>
  <si>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</si>
  <si>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</si>
  <si>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Wypłacone dywidendy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</si>
  <si>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</si>
  <si>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</si>
  <si>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</si>
  <si>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</si>
  <si>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</si>
  <si>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</si>
  <si>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</si>
  <si>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</si>
  <si>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</si>
  <si>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</si>
  <si>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</si>
  <si>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</si>
  <si>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</si>
  <si>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</si>
  <si>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</si>
  <si>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</si>
  <si>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</si>
  <si>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</si>
  <si>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</si>
  <si>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Pożyczki udzielone jednostkom powiązanym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</si>
  <si>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</si>
  <si>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</si>
  <si>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</si>
  <si>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</si>
  <si>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</si>
  <si>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</si>
  <si>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</si>
  <si>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Pozostałe wpływy</t>
  </si>
  <si>
    <t>Koszty operacyjne</t>
  </si>
  <si>
    <t>Przychody ze sprzedaży usług, produktów, towarów i materiałów</t>
  </si>
  <si>
    <t>Należności z tytułu podatku dochodowego</t>
  </si>
  <si>
    <t>Udziały niekontrolujące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</si>
  <si>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</si>
  <si>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</si>
  <si>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</si>
  <si>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</si>
  <si>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</si>
  <si>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</si>
  <si>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</si>
  <si>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</si>
  <si>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</si>
  <si>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</si>
  <si>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</si>
  <si>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</si>
  <si>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</si>
  <si>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</si>
  <si>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</si>
  <si>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</si>
  <si>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</si>
  <si>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Wpływy z tytułu realizacji instrumentaów pochodnych</t>
  </si>
  <si>
    <t xml:space="preserve">Lokaty krótkoterminowe </t>
  </si>
  <si>
    <t>Zapłata za usługi doradcze związane z emisją akcji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</si>
  <si>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</si>
  <si>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</si>
  <si>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</si>
  <si>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</si>
  <si>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</si>
  <si>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</si>
  <si>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</si>
  <si>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</si>
  <si>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</si>
  <si>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</si>
  <si>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</si>
  <si>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</si>
  <si>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</si>
  <si>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</si>
  <si>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</si>
  <si>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</si>
  <si>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</si>
  <si>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</si>
  <si>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</si>
  <si>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</si>
  <si>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</si>
  <si>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</si>
  <si>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</si>
  <si>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</si>
  <si>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</si>
  <si>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</si>
  <si>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</si>
  <si>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</si>
  <si>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</si>
  <si>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</si>
  <si>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</si>
  <si>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</si>
  <si>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</si>
  <si>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</si>
  <si>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</si>
  <si>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</si>
  <si>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</si>
  <si>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</si>
  <si>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</si>
  <si>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</si>
  <si>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</si>
  <si>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</si>
  <si>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</si>
  <si>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</si>
  <si>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</si>
  <si>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</si>
  <si>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</si>
  <si>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</si>
  <si>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</si>
  <si>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</si>
  <si>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</si>
  <si>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</si>
  <si>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</si>
  <si>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</si>
  <si>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</si>
  <si>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</si>
  <si>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</si>
  <si>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</si>
  <si>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</si>
  <si>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</si>
  <si>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</si>
  <si>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</si>
  <si>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</si>
  <si>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</si>
  <si>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</si>
  <si>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t>Zmiana / %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</si>
  <si>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</si>
  <si>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</si>
  <si>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Polsat News</t>
  </si>
  <si>
    <t>Polsat Sport</t>
  </si>
  <si>
    <t>Polsat Sport Extra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</si>
  <si>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</si>
  <si>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</si>
  <si>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</si>
  <si>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</si>
  <si>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</si>
  <si>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</si>
  <si>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</si>
  <si>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</si>
  <si>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</si>
  <si>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</si>
  <si>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</si>
  <si>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</si>
  <si>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t xml:space="preserve">GRUPA KAPITAŁOWA CYFROWY POLSAT S.A. </t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</si>
  <si>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</si>
  <si>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</si>
  <si>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</si>
  <si>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</si>
  <si>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</si>
  <si>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</si>
  <si>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</si>
  <si>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</si>
  <si>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</si>
  <si>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</si>
  <si>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Muzo.tv</t>
  </si>
  <si>
    <t>Udział w zysku jednostki współkontrolowanej wycenianej metodą praw własności</t>
  </si>
  <si>
    <t>EBITDA (niebadana)</t>
  </si>
  <si>
    <t>Relacje z klientami</t>
  </si>
  <si>
    <t>Długoterminowe prowizje dla dystrybutorów rozliczane w czasie</t>
  </si>
  <si>
    <t>Inne aktywa długoterminowe</t>
  </si>
  <si>
    <t>Należności z tytułu dostaw i usług oraz pozostałe należności</t>
  </si>
  <si>
    <t>Krótkoterminowe prowizje dla dystrybutorów rozliczane w czasie</t>
  </si>
  <si>
    <t>Pozostałe aktywa obrotowe</t>
  </si>
  <si>
    <t>Nadwyżka wartości emisyjnej akcji powyżej ich wartości nominalnej</t>
  </si>
  <si>
    <t>Pozostałe kapitały</t>
  </si>
  <si>
    <t>Zobowiązania z tytułu koncesji UMTS</t>
  </si>
  <si>
    <t>Przychody przyszłych okresów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</si>
  <si>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</si>
  <si>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</si>
  <si>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t>2) Pozycja została połączona z pozycją "Inne korekty"</t>
  </si>
  <si>
    <t>Wpływy ze zbycia udziałów</t>
  </si>
  <si>
    <t>Emisja obligacji/(Wykup obligacji)</t>
  </si>
  <si>
    <r>
      <t xml:space="preserve">Spłata odsetek od kredytów, pożyczek, obligacji,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</si>
  <si>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Nabycie obligacji</t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</si>
  <si>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</si>
  <si>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t>1) Pozycja ta obejmuje także nabycie zestawów odbiorczych w leasingu operacyjnym.</t>
  </si>
  <si>
    <t>2) Pozycja ta obejmuje także aktywa trwałe zlokalizowane poza granicami Polski.</t>
  </si>
  <si>
    <t>Zysk brutto za okres</t>
  </si>
  <si>
    <t>Zysk netto za okres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</si>
  <si>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</si>
  <si>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 xml:space="preserve">2016 </t>
    </r>
    <r>
      <rPr>
        <b/>
        <vertAlign val="superscript"/>
        <sz val="10"/>
        <color indexed="8"/>
        <rFont val="Calibri"/>
        <family val="2"/>
        <charset val="238"/>
      </rPr>
      <t>1)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</si>
  <si>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</rPr>
      <t xml:space="preserve"> </t>
    </r>
  </si>
  <si>
    <t>1) Wyniki Grupy Aero2 konsolidowane od 29 lutego 2016</t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</si>
  <si>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</si>
  <si>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t>Pozostałe przychody / (koszty) operacyjne, netto</t>
  </si>
  <si>
    <t>Zysk/ (strata) netto przypadający na akcjonariuszy niekontrolujących</t>
  </si>
  <si>
    <t>(Zysk) / strata na instrumentach pochodnych, netto</t>
  </si>
  <si>
    <t>Jednorazowe spisanie przeszacowania wartości obligacji na moment nabycia do wartości godziwej oraz koszt premii za wcześniejszy wykup obligacji</t>
  </si>
  <si>
    <t>za okres 3 miesięcy zakończony</t>
  </si>
  <si>
    <t>31 marca 2016</t>
  </si>
  <si>
    <t>Na dzień 31 marca (niebadany)</t>
  </si>
  <si>
    <t>31 marca 2017</t>
  </si>
  <si>
    <t>3 miesiące zakończone 31 marca</t>
  </si>
  <si>
    <r>
      <t>Inne wydatki</t>
    </r>
    <r>
      <rPr>
        <vertAlign val="superscript"/>
        <sz val="10"/>
        <color indexed="8"/>
        <rFont val="Calibri"/>
        <family val="2"/>
        <charset val="238"/>
      </rPr>
      <t>3)</t>
    </r>
  </si>
  <si>
    <t>3) Pozycja obejmuje spłatę zobowiązań z tytułu leasingu finansowego</t>
  </si>
  <si>
    <r>
      <t>Polsat Sport Fight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</si>
  <si>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1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</si>
  <si>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Super Polsat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</si>
  <si>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PolsatDoku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</si>
  <si>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Sport News HD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</si>
  <si>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 xml:space="preserve">Polsat Sport News 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</si>
  <si>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(8)</t>
    </r>
  </si>
  <si>
    <r>
      <t>Super Polsat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</si>
  <si>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r>
      <t>Polsat Sport News HD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</si>
  <si>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Doku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</si>
  <si>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Sport Fight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</si>
  <si>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1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</si>
  <si>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t>(1) Nielsen Audience Measurement, udział w oglądalności w grupie wszyscy 16-49 lat, cała doba.
(2) Licząc sumaryczne udziały Grupy Polsat i kanałów tematycznych uwzględniamy moment włączenia kanałów do naszego portfolio. Podane wskaźniki dotyczą emisji typu Live bez przesunięcia w czasie (TSV).
(3) Kanał nadający w systemie DTT, uruchomiony 2 stycznia 2017 roku w miejscu Polsat Sport News 
(4) Kanał uruchomiony 10 lutego 2017 roku, dane za okres nadawania.
(5) Od 2 stycznia 2017 roku kanał dostępny wyłącznie w sieciach kablowych i satelitarnych pod nazwą Polsat Sport News HD.
(6) Kanał uruchomiony 1 sierpnia 2016 roku, objęty badaniem telemetrycznym od 1 stycznia 2017 roku.
(7) Kanał uruchomiony 18 grudnia 2015 roku, nieobecny w badaniu telemetrycznym.
(8) Szacunki własne na podstawie danych Starcom.</t>
  </si>
  <si>
    <t>(1) Nielsen Audience Measurement, odsetek telewizyjnych gospodarstw domowych, które mają możliwość odbioru danego kanału; średnia arytmetyczna zasięgów miesięcznych.
(2) Kanał nadający w systemie DTT, uruchomiony 2 stycznia 2017 roku w miejscu Polsat Sport News.
(3) Od 2 stycznia 2017 roku kanał dostępny wyłącznie w sieciach kablowych i satelitarnych pod nazwą Polsat Sport News HD.
(4) Kanał uruchomiony 10 lutego 2017 roku, dane za okres nadawania 
(5) Kanał uruchomiony 1 sierpnia 2016 roku, objęty badaniem telemetrycznym od 1 stycznia 2017 roku.
(6) Kanał nadawany poza granicami Polski, nie jest objęty badaniem telemetrycznym.</t>
  </si>
  <si>
    <t xml:space="preserve">ZASTRZEŻENIE
Prezentowane poniżej wskaźniki operacyjne (KPI) za pierwszy kwartał 2017 roku obejmują wyniki operacyjne Grupy Polsat wraz z Grupą Aero2 (dawniej Grupa Midas), nabytą dnia 29 lutego 2016 roku. W związku z powyższym wyniki operacyjne za pierwszy kwartał 2017 roku nie są w pełni porównywalne z wynikami operacyjnymi za analogiczny okres 2016 roku, jednakże wpływ konsolidacji wyników operacyjnych Grupy Aero2 na raportowany poziom wyników operacyjnych Grupy Polsat jest niematerialny.
Przy ocenie naszej działalności operacyjnej w segmencie usług świadczonych dla klientów indywidualnych i biznesowych osobno analizujemy świadczone przez nas usługi kontraktowe i usługi przedpłacone. W przypadku tych pierwszych bierzemy pod uwagę liczbę pojedynczych, aktywnych usług świadczonych w modelu kontraktowym (RGU), liczbę klientów, wskaźnik odpływu klientów (churn) oraz średni miesięczny przychód na klienta. W przypadku usług przedpłaconych analizowana jest liczba unikalnych, aktywnych usług świadczonych w modelu przedpłaconym (RGU prepaid) oraz średni przychód przypadający na RGU prepaid. Liczba raportowanych RGU prepaid w ramach telefonii komórkowej oraz Internetu oznacza liczbę kart SIM, które w ciągu ostatnich 90 dni wykonały albo otrzymały połączenie, wysłały albo otrzymały SMS/MMS albo skorzystały z usług transmisji danych. W przypadku bezpłatnego dostępu do Internetu świadczonego przez Aero2 do RGU usług przedpłaconych w ramach dostępu do Internetu wliczone zostały wyłącznie te karty SIM, które w ciągu ostatnich 90 dni skorzystały z usług transmisji danych w ramach płatnych pakietów.
</t>
  </si>
  <si>
    <t>Zyski zatrzymane</t>
  </si>
  <si>
    <t>1) Obejmuje wpływ instrumentów IRS/CIRS/forward, premie za wcześniejszą spłatę obligacji oraz zapłatę za koszty związane z pozyskaniem finansowania</t>
  </si>
  <si>
    <t xml:space="preserve">    Kanały tematyczne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</si>
</sst>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00"/>
    <numFmt numFmtId="168" formatCode="0.0%"/>
    <numFmt numFmtId="169" formatCode="#,##0.0"/>
    <numFmt numFmtId="170" formatCode="#,##0.0;\-#,##0.0"/>
    <numFmt numFmtId="171" formatCode="#,##0.0\ ;\(#,##0\)"/>
    <numFmt numFmtId="172" formatCode="#,##0.0\ ;\(#,##0.0\)"/>
    <numFmt numFmtId="173" formatCode="\-"/>
    <numFmt numFmtId="174" formatCode="###0.0"/>
    <numFmt numFmtId="175" formatCode="###0.0;\(###0.0\)"/>
    <numFmt numFmtId="176" formatCode="#,##0.0;\(#,##0.0\)"/>
    <numFmt numFmtId="177" formatCode="#\.##0.0"/>
    <numFmt numFmtId="178" formatCode="_-* #,##0.00\ [$€-1]_-;\-* #,##0.00\ [$€-1]_-;_-* &quot;-&quot;??\ [$€-1]_-"/>
    <numFmt numFmtId="179" formatCode="#,##0.00%;\(#,##0.00%\)"/>
    <numFmt numFmtId="180" formatCode="#,##0.00;\(#,##0.00\)"/>
    <numFmt numFmtId="181" formatCode="##\.##0.0;\(##\.##0.0\)"/>
    <numFmt numFmtId="182" formatCode="#,##0.0\ ;\(#,##0.0\);\-"/>
    <numFmt numFmtId="183" formatCode="#,##0.0;\(#,##0.0\);\-"/>
    <numFmt numFmtId="184" formatCode="#,##0.000;\(#,##0.000\);\-"/>
    <numFmt numFmtId="185" formatCode="#,##0;\(#,##0\);\-"/>
    <numFmt numFmtId="186" formatCode="#,##0.0,;\(#,##0.0\)"/>
    <numFmt numFmtId="187" formatCode="#,##0.0,;\(#,##0.0\);\-"/>
    <numFmt numFmtId="188" formatCode="#,##0.0%;\(#,##0.0%\)"/>
    <numFmt numFmtId="189" formatCode="#,##0.00%;\(#,##0.00%\);\-"/>
  </numFmts>
  <fonts count="6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5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78" fontId="15" fillId="0" borderId="0"/>
    <xf numFmtId="178" fontId="15" fillId="0" borderId="0"/>
    <xf numFmtId="178" fontId="15" fillId="0" borderId="0"/>
    <xf numFmtId="9" fontId="15" fillId="0" borderId="0" applyFont="0" applyFill="0" applyBorder="0" applyAlignment="0" applyProtection="0"/>
  </cellStyleXfs>
  <cellXfs count="560"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24" fillId="3" borderId="4" xfId="0" applyFont="1" applyFill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/>
    <xf numFmtId="0" fontId="26" fillId="6" borderId="6" xfId="0" applyFont="1" applyFill="1" applyBorder="1" applyAlignment="1">
      <alignment vertical="center" wrapText="1"/>
    </xf>
    <xf numFmtId="0" fontId="12" fillId="3" borderId="0" xfId="0" applyFont="1" applyFill="1" applyBorder="1"/>
    <xf numFmtId="0" fontId="25" fillId="3" borderId="0" xfId="0" applyFont="1" applyFill="1"/>
    <xf numFmtId="0" fontId="0" fillId="3" borderId="0" xfId="0" applyFill="1"/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31" fillId="3" borderId="0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6" fillId="3" borderId="22" xfId="0" applyFont="1" applyFill="1" applyBorder="1" applyAlignment="1">
      <alignment vertical="center" wrapText="1"/>
    </xf>
    <xf numFmtId="169" fontId="6" fillId="3" borderId="11" xfId="0" applyNumberFormat="1" applyFont="1" applyFill="1" applyBorder="1" applyAlignment="1">
      <alignment horizontal="right" vertical="center"/>
    </xf>
    <xf numFmtId="169" fontId="6" fillId="2" borderId="11" xfId="0" applyNumberFormat="1" applyFont="1" applyFill="1" applyBorder="1" applyAlignment="1">
      <alignment horizontal="right" vertical="center"/>
    </xf>
    <xf numFmtId="41" fontId="6" fillId="3" borderId="0" xfId="0" applyNumberFormat="1" applyFont="1" applyFill="1" applyBorder="1" applyAlignment="1">
      <alignment horizontal="right" vertical="center" wrapText="1"/>
    </xf>
    <xf numFmtId="3" fontId="6" fillId="3" borderId="0" xfId="0" applyNumberFormat="1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vertical="center" wrapText="1"/>
    </xf>
    <xf numFmtId="169" fontId="6" fillId="2" borderId="0" xfId="0" applyNumberFormat="1" applyFont="1" applyFill="1" applyBorder="1" applyAlignment="1">
      <alignment horizontal="right" vertical="center"/>
    </xf>
    <xf numFmtId="169" fontId="6" fillId="3" borderId="0" xfId="0" applyNumberFormat="1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vertical="center" wrapText="1"/>
    </xf>
    <xf numFmtId="177" fontId="16" fillId="2" borderId="0" xfId="0" applyNumberFormat="1" applyFont="1" applyFill="1" applyBorder="1" applyAlignment="1">
      <alignment horizontal="right" vertical="center"/>
    </xf>
    <xf numFmtId="169" fontId="16" fillId="3" borderId="0" xfId="0" applyNumberFormat="1" applyFont="1" applyFill="1" applyBorder="1" applyAlignment="1">
      <alignment horizontal="right" vertical="center"/>
    </xf>
    <xf numFmtId="174" fontId="16" fillId="3" borderId="0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vertical="center"/>
    </xf>
    <xf numFmtId="3" fontId="16" fillId="3" borderId="0" xfId="0" applyNumberFormat="1" applyFont="1" applyFill="1" applyBorder="1" applyAlignment="1">
      <alignment horizontal="right" vertical="center" wrapText="1"/>
    </xf>
    <xf numFmtId="0" fontId="34" fillId="3" borderId="0" xfId="0" applyFont="1" applyFill="1" applyBorder="1" applyAlignment="1">
      <alignment vertical="center"/>
    </xf>
    <xf numFmtId="0" fontId="34" fillId="3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169" fontId="16" fillId="2" borderId="0" xfId="0" applyNumberFormat="1" applyFont="1" applyFill="1" applyBorder="1" applyAlignment="1">
      <alignment horizontal="right" vertical="center"/>
    </xf>
    <xf numFmtId="169" fontId="16" fillId="2" borderId="1" xfId="0" applyNumberFormat="1" applyFont="1" applyFill="1" applyBorder="1" applyAlignment="1">
      <alignment horizontal="right" vertical="center"/>
    </xf>
    <xf numFmtId="0" fontId="6" fillId="3" borderId="25" xfId="0" applyFont="1" applyFill="1" applyBorder="1" applyAlignment="1">
      <alignment vertical="center" wrapText="1"/>
    </xf>
    <xf numFmtId="169" fontId="6" fillId="3" borderId="27" xfId="0" applyNumberFormat="1" applyFont="1" applyFill="1" applyBorder="1" applyAlignment="1">
      <alignment horizontal="right" vertical="center"/>
    </xf>
    <xf numFmtId="169" fontId="6" fillId="2" borderId="27" xfId="0" applyNumberFormat="1" applyFont="1" applyFill="1" applyBorder="1" applyAlignment="1">
      <alignment horizontal="right" vertical="center"/>
    </xf>
    <xf numFmtId="0" fontId="32" fillId="3" borderId="4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35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3" borderId="0" xfId="0" applyFont="1" applyFill="1"/>
    <xf numFmtId="3" fontId="30" fillId="3" borderId="0" xfId="0" applyNumberFormat="1" applyFont="1" applyFill="1" applyAlignment="1">
      <alignment horizontal="right"/>
    </xf>
    <xf numFmtId="0" fontId="37" fillId="3" borderId="0" xfId="0" applyFont="1" applyFill="1" applyAlignment="1"/>
    <xf numFmtId="0" fontId="37" fillId="3" borderId="0" xfId="0" applyFont="1" applyFill="1" applyAlignment="1">
      <alignment horizontal="left"/>
    </xf>
    <xf numFmtId="3" fontId="26" fillId="3" borderId="0" xfId="0" applyNumberFormat="1" applyFont="1" applyFill="1" applyBorder="1" applyAlignment="1">
      <alignment horizontal="right"/>
    </xf>
    <xf numFmtId="3" fontId="30" fillId="3" borderId="0" xfId="0" applyNumberFormat="1" applyFont="1" applyFill="1" applyBorder="1" applyAlignment="1">
      <alignment horizontal="right"/>
    </xf>
    <xf numFmtId="0" fontId="31" fillId="3" borderId="0" xfId="0" applyFont="1" applyFill="1"/>
    <xf numFmtId="0" fontId="31" fillId="0" borderId="0" xfId="0" applyFont="1"/>
    <xf numFmtId="0" fontId="25" fillId="4" borderId="27" xfId="0" applyFont="1" applyFill="1" applyBorder="1" applyAlignment="1">
      <alignment horizontal="right" vertical="center"/>
    </xf>
    <xf numFmtId="0" fontId="42" fillId="3" borderId="0" xfId="0" applyFont="1" applyFill="1"/>
    <xf numFmtId="0" fontId="12" fillId="0" borderId="0" xfId="0" applyFont="1" applyBorder="1"/>
    <xf numFmtId="172" fontId="12" fillId="3" borderId="11" xfId="0" applyNumberFormat="1" applyFont="1" applyFill="1" applyBorder="1" applyAlignment="1">
      <alignment vertical="center"/>
    </xf>
    <xf numFmtId="169" fontId="12" fillId="3" borderId="0" xfId="0" applyNumberFormat="1" applyFont="1" applyFill="1" applyBorder="1" applyAlignment="1">
      <alignment vertical="center"/>
    </xf>
    <xf numFmtId="172" fontId="12" fillId="3" borderId="0" xfId="0" applyNumberFormat="1" applyFont="1" applyFill="1" applyBorder="1" applyAlignment="1">
      <alignment vertical="center"/>
    </xf>
    <xf numFmtId="173" fontId="40" fillId="3" borderId="0" xfId="1" applyNumberFormat="1" applyFont="1" applyFill="1" applyBorder="1" applyAlignment="1">
      <alignment horizontal="right" vertical="center"/>
    </xf>
    <xf numFmtId="173" fontId="12" fillId="3" borderId="0" xfId="0" applyNumberFormat="1" applyFont="1" applyFill="1" applyBorder="1" applyAlignment="1">
      <alignment vertical="center"/>
    </xf>
    <xf numFmtId="172" fontId="40" fillId="3" borderId="0" xfId="1" applyNumberFormat="1" applyFont="1" applyFill="1" applyBorder="1" applyAlignment="1">
      <alignment horizontal="right" vertical="center"/>
    </xf>
    <xf numFmtId="171" fontId="12" fillId="3" borderId="0" xfId="0" applyNumberFormat="1" applyFont="1" applyFill="1" applyBorder="1" applyAlignment="1">
      <alignment vertical="center"/>
    </xf>
    <xf numFmtId="172" fontId="42" fillId="3" borderId="0" xfId="0" applyNumberFormat="1" applyFont="1" applyFill="1" applyBorder="1" applyAlignment="1">
      <alignment vertical="center"/>
    </xf>
    <xf numFmtId="173" fontId="42" fillId="3" borderId="0" xfId="0" applyNumberFormat="1" applyFont="1" applyFill="1" applyBorder="1" applyAlignment="1">
      <alignment vertical="center"/>
    </xf>
    <xf numFmtId="171" fontId="12" fillId="3" borderId="18" xfId="0" applyNumberFormat="1" applyFont="1" applyFill="1" applyBorder="1" applyAlignment="1">
      <alignment vertical="center"/>
    </xf>
    <xf numFmtId="172" fontId="12" fillId="3" borderId="18" xfId="0" applyNumberFormat="1" applyFont="1" applyFill="1" applyBorder="1" applyAlignment="1">
      <alignment vertical="center"/>
    </xf>
    <xf numFmtId="164" fontId="40" fillId="3" borderId="0" xfId="0" applyNumberFormat="1" applyFont="1" applyFill="1" applyBorder="1" applyAlignment="1">
      <alignment horizontal="right" vertical="center"/>
    </xf>
    <xf numFmtId="169" fontId="42" fillId="3" borderId="0" xfId="0" applyNumberFormat="1" applyFont="1" applyFill="1" applyBorder="1" applyAlignment="1">
      <alignment vertical="center"/>
    </xf>
    <xf numFmtId="169" fontId="40" fillId="3" borderId="0" xfId="0" applyNumberFormat="1" applyFont="1" applyFill="1" applyBorder="1" applyAlignment="1">
      <alignment horizontal="right" vertical="center"/>
    </xf>
    <xf numFmtId="169" fontId="12" fillId="3" borderId="0" xfId="0" applyNumberFormat="1" applyFont="1" applyFill="1" applyAlignment="1">
      <alignment vertical="center"/>
    </xf>
    <xf numFmtId="164" fontId="43" fillId="3" borderId="0" xfId="0" applyNumberFormat="1" applyFont="1" applyFill="1" applyBorder="1" applyAlignment="1">
      <alignment horizontal="right" vertical="center"/>
    </xf>
    <xf numFmtId="164" fontId="44" fillId="3" borderId="0" xfId="0" applyNumberFormat="1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169" fontId="25" fillId="12" borderId="7" xfId="0" applyNumberFormat="1" applyFont="1" applyFill="1" applyBorder="1" applyAlignment="1">
      <alignment vertical="center"/>
    </xf>
    <xf numFmtId="172" fontId="25" fillId="12" borderId="7" xfId="0" applyNumberFormat="1" applyFont="1" applyFill="1" applyBorder="1" applyAlignment="1">
      <alignment vertical="center"/>
    </xf>
    <xf numFmtId="0" fontId="41" fillId="3" borderId="3" xfId="0" applyFont="1" applyFill="1" applyBorder="1" applyAlignment="1">
      <alignment horizontal="left" vertical="center" indent="2"/>
    </xf>
    <xf numFmtId="171" fontId="12" fillId="3" borderId="11" xfId="0" applyNumberFormat="1" applyFont="1" applyFill="1" applyBorder="1" applyAlignment="1">
      <alignment vertical="center"/>
    </xf>
    <xf numFmtId="0" fontId="25" fillId="4" borderId="26" xfId="0" applyFont="1" applyFill="1" applyBorder="1" applyAlignment="1">
      <alignment horizontal="left" vertical="center"/>
    </xf>
    <xf numFmtId="172" fontId="25" fillId="4" borderId="27" xfId="0" applyNumberFormat="1" applyFont="1" applyFill="1" applyBorder="1" applyAlignment="1">
      <alignment vertical="center"/>
    </xf>
    <xf numFmtId="167" fontId="12" fillId="3" borderId="0" xfId="0" applyNumberFormat="1" applyFont="1" applyFill="1" applyBorder="1" applyAlignment="1">
      <alignment horizontal="right" vertical="center"/>
    </xf>
    <xf numFmtId="169" fontId="12" fillId="3" borderId="0" xfId="0" applyNumberFormat="1" applyFont="1" applyFill="1" applyBorder="1" applyAlignment="1">
      <alignment horizontal="right" vertical="center"/>
    </xf>
    <xf numFmtId="172" fontId="12" fillId="3" borderId="0" xfId="0" applyNumberFormat="1" applyFont="1" applyFill="1" applyBorder="1" applyAlignment="1">
      <alignment horizontal="right" vertical="center"/>
    </xf>
    <xf numFmtId="174" fontId="12" fillId="3" borderId="0" xfId="0" applyNumberFormat="1" applyFont="1" applyFill="1" applyBorder="1" applyAlignment="1">
      <alignment vertical="center"/>
    </xf>
    <xf numFmtId="174" fontId="42" fillId="3" borderId="0" xfId="0" applyNumberFormat="1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12" fillId="3" borderId="7" xfId="0" applyFont="1" applyFill="1" applyBorder="1"/>
    <xf numFmtId="0" fontId="12" fillId="3" borderId="7" xfId="0" applyFont="1" applyFill="1" applyBorder="1" applyAlignment="1">
      <alignment horizontal="right"/>
    </xf>
    <xf numFmtId="169" fontId="12" fillId="3" borderId="1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0" fontId="25" fillId="3" borderId="3" xfId="0" applyFont="1" applyFill="1" applyBorder="1" applyAlignment="1">
      <alignment horizontal="left" vertical="center"/>
    </xf>
    <xf numFmtId="0" fontId="25" fillId="13" borderId="27" xfId="0" applyFont="1" applyFill="1" applyBorder="1" applyAlignment="1">
      <alignment horizontal="right" vertical="center"/>
    </xf>
    <xf numFmtId="0" fontId="12" fillId="14" borderId="7" xfId="0" applyFont="1" applyFill="1" applyBorder="1"/>
    <xf numFmtId="173" fontId="12" fillId="14" borderId="0" xfId="0" applyNumberFormat="1" applyFont="1" applyFill="1" applyBorder="1" applyAlignment="1">
      <alignment vertical="center"/>
    </xf>
    <xf numFmtId="173" fontId="42" fillId="14" borderId="0" xfId="0" applyNumberFormat="1" applyFont="1" applyFill="1" applyBorder="1" applyAlignment="1">
      <alignment vertical="center"/>
    </xf>
    <xf numFmtId="173" fontId="40" fillId="14" borderId="0" xfId="1" applyNumberFormat="1" applyFont="1" applyFill="1" applyBorder="1" applyAlignment="1">
      <alignment horizontal="right" vertical="center"/>
    </xf>
    <xf numFmtId="164" fontId="40" fillId="14" borderId="0" xfId="0" applyNumberFormat="1" applyFont="1" applyFill="1" applyBorder="1" applyAlignment="1">
      <alignment horizontal="right" vertical="center"/>
    </xf>
    <xf numFmtId="172" fontId="25" fillId="12" borderId="8" xfId="0" applyNumberFormat="1" applyFont="1" applyFill="1" applyBorder="1" applyAlignment="1">
      <alignment vertical="center"/>
    </xf>
    <xf numFmtId="0" fontId="25" fillId="13" borderId="28" xfId="0" applyFont="1" applyFill="1" applyBorder="1" applyAlignment="1">
      <alignment horizontal="right" vertical="center"/>
    </xf>
    <xf numFmtId="0" fontId="25" fillId="4" borderId="26" xfId="0" applyFont="1" applyFill="1" applyBorder="1" applyAlignment="1">
      <alignment horizontal="right" vertical="center"/>
    </xf>
    <xf numFmtId="0" fontId="25" fillId="13" borderId="28" xfId="0" applyFont="1" applyFill="1" applyBorder="1" applyAlignment="1">
      <alignment horizontal="right" vertical="center" wrapText="1"/>
    </xf>
    <xf numFmtId="0" fontId="12" fillId="3" borderId="6" xfId="0" applyFont="1" applyFill="1" applyBorder="1"/>
    <xf numFmtId="0" fontId="12" fillId="14" borderId="8" xfId="0" applyFont="1" applyFill="1" applyBorder="1"/>
    <xf numFmtId="172" fontId="12" fillId="14" borderId="10" xfId="0" applyNumberFormat="1" applyFont="1" applyFill="1" applyBorder="1" applyAlignment="1">
      <alignment vertical="center"/>
    </xf>
    <xf numFmtId="173" fontId="40" fillId="3" borderId="3" xfId="1" applyNumberFormat="1" applyFont="1" applyFill="1" applyBorder="1" applyAlignment="1">
      <alignment horizontal="right" vertical="center"/>
    </xf>
    <xf numFmtId="173" fontId="42" fillId="3" borderId="3" xfId="0" applyNumberFormat="1" applyFont="1" applyFill="1" applyBorder="1" applyAlignment="1">
      <alignment vertical="center"/>
    </xf>
    <xf numFmtId="172" fontId="42" fillId="14" borderId="10" xfId="0" applyNumberFormat="1" applyFont="1" applyFill="1" applyBorder="1" applyAlignment="1">
      <alignment vertical="center"/>
    </xf>
    <xf numFmtId="172" fontId="12" fillId="14" borderId="19" xfId="0" applyNumberFormat="1" applyFont="1" applyFill="1" applyBorder="1" applyAlignment="1">
      <alignment vertical="center"/>
    </xf>
    <xf numFmtId="172" fontId="12" fillId="14" borderId="12" xfId="0" applyNumberFormat="1" applyFont="1" applyFill="1" applyBorder="1" applyAlignment="1">
      <alignment vertical="center"/>
    </xf>
    <xf numFmtId="173" fontId="12" fillId="14" borderId="10" xfId="0" applyNumberFormat="1" applyFont="1" applyFill="1" applyBorder="1" applyAlignment="1">
      <alignment vertical="center"/>
    </xf>
    <xf numFmtId="172" fontId="25" fillId="13" borderId="28" xfId="0" applyNumberFormat="1" applyFont="1" applyFill="1" applyBorder="1" applyAlignment="1">
      <alignment vertical="center"/>
    </xf>
    <xf numFmtId="174" fontId="12" fillId="14" borderId="12" xfId="0" applyNumberFormat="1" applyFont="1" applyFill="1" applyBorder="1" applyAlignment="1">
      <alignment vertical="center"/>
    </xf>
    <xf numFmtId="164" fontId="40" fillId="3" borderId="3" xfId="0" applyNumberFormat="1" applyFont="1" applyFill="1" applyBorder="1" applyAlignment="1">
      <alignment horizontal="right" vertical="center"/>
    </xf>
    <xf numFmtId="164" fontId="40" fillId="14" borderId="10" xfId="0" applyNumberFormat="1" applyFont="1" applyFill="1" applyBorder="1" applyAlignment="1">
      <alignment horizontal="right" vertical="center"/>
    </xf>
    <xf numFmtId="169" fontId="12" fillId="14" borderId="10" xfId="0" applyNumberFormat="1" applyFont="1" applyFill="1" applyBorder="1" applyAlignment="1">
      <alignment vertical="center"/>
    </xf>
    <xf numFmtId="176" fontId="12" fillId="14" borderId="10" xfId="0" applyNumberFormat="1" applyFont="1" applyFill="1" applyBorder="1" applyAlignment="1">
      <alignment vertical="center"/>
    </xf>
    <xf numFmtId="174" fontId="12" fillId="14" borderId="10" xfId="0" applyNumberFormat="1" applyFont="1" applyFill="1" applyBorder="1" applyAlignment="1">
      <alignment vertical="center"/>
    </xf>
    <xf numFmtId="174" fontId="42" fillId="14" borderId="10" xfId="0" applyNumberFormat="1" applyFont="1" applyFill="1" applyBorder="1" applyAlignment="1">
      <alignment vertical="center"/>
    </xf>
    <xf numFmtId="173" fontId="12" fillId="3" borderId="3" xfId="0" applyNumberFormat="1" applyFont="1" applyFill="1" applyBorder="1" applyAlignment="1">
      <alignment vertical="center"/>
    </xf>
    <xf numFmtId="173" fontId="42" fillId="14" borderId="10" xfId="0" applyNumberFormat="1" applyFont="1" applyFill="1" applyBorder="1" applyAlignment="1">
      <alignment vertical="center"/>
    </xf>
    <xf numFmtId="173" fontId="40" fillId="14" borderId="10" xfId="1" applyNumberFormat="1" applyFont="1" applyFill="1" applyBorder="1" applyAlignment="1">
      <alignment horizontal="right" vertical="center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46" fillId="11" borderId="13" xfId="0" applyFont="1" applyFill="1" applyBorder="1" applyAlignment="1">
      <alignment horizontal="center" vertical="center"/>
    </xf>
    <xf numFmtId="0" fontId="46" fillId="11" borderId="0" xfId="0" applyFont="1" applyFill="1" applyBorder="1" applyAlignment="1">
      <alignment horizontal="center" vertical="center"/>
    </xf>
    <xf numFmtId="0" fontId="46" fillId="11" borderId="14" xfId="0" applyFont="1" applyFill="1" applyBorder="1" applyAlignment="1">
      <alignment horizontal="center" vertical="center"/>
    </xf>
    <xf numFmtId="0" fontId="46" fillId="11" borderId="11" xfId="0" applyFont="1" applyFill="1" applyBorder="1" applyAlignment="1">
      <alignment horizontal="center" vertical="center"/>
    </xf>
    <xf numFmtId="0" fontId="47" fillId="3" borderId="9" xfId="0" applyFont="1" applyFill="1" applyBorder="1" applyAlignment="1">
      <alignment horizontal="left" vertical="center" wrapText="1"/>
    </xf>
    <xf numFmtId="3" fontId="47" fillId="17" borderId="6" xfId="0" applyNumberFormat="1" applyFont="1" applyFill="1" applyBorder="1" applyAlignment="1">
      <alignment horizontal="center" vertical="center" wrapText="1"/>
    </xf>
    <xf numFmtId="3" fontId="47" fillId="17" borderId="7" xfId="0" applyNumberFormat="1" applyFont="1" applyFill="1" applyBorder="1" applyAlignment="1">
      <alignment horizontal="center" vertical="center" wrapText="1"/>
    </xf>
    <xf numFmtId="3" fontId="47" fillId="18" borderId="8" xfId="0" applyNumberFormat="1" applyFont="1" applyFill="1" applyBorder="1" applyAlignment="1">
      <alignment horizontal="center" vertical="center" wrapText="1"/>
    </xf>
    <xf numFmtId="3" fontId="47" fillId="3" borderId="6" xfId="0" applyNumberFormat="1" applyFont="1" applyFill="1" applyBorder="1" applyAlignment="1">
      <alignment horizontal="right" vertical="center" wrapText="1"/>
    </xf>
    <xf numFmtId="3" fontId="47" fillId="3" borderId="7" xfId="0" applyNumberFormat="1" applyFont="1" applyFill="1" applyBorder="1" applyAlignment="1">
      <alignment horizontal="right" vertical="center" wrapText="1"/>
    </xf>
    <xf numFmtId="0" fontId="49" fillId="2" borderId="3" xfId="0" applyFont="1" applyFill="1" applyBorder="1" applyAlignment="1">
      <alignment horizontal="left" vertical="center" wrapText="1"/>
    </xf>
    <xf numFmtId="3" fontId="22" fillId="2" borderId="3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2" fillId="19" borderId="0" xfId="0" applyNumberFormat="1" applyFont="1" applyFill="1" applyBorder="1" applyAlignment="1">
      <alignment horizontal="right" vertical="center" wrapText="1"/>
    </xf>
    <xf numFmtId="3" fontId="22" fillId="2" borderId="4" xfId="0" applyNumberFormat="1" applyFont="1" applyFill="1" applyBorder="1" applyAlignment="1">
      <alignment horizontal="right" vertical="center" wrapText="1"/>
    </xf>
    <xf numFmtId="168" fontId="22" fillId="2" borderId="3" xfId="6" applyNumberFormat="1" applyFont="1" applyFill="1" applyBorder="1" applyAlignment="1">
      <alignment horizontal="right" vertical="center" wrapText="1"/>
    </xf>
    <xf numFmtId="3" fontId="22" fillId="19" borderId="10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 wrapText="1"/>
    </xf>
    <xf numFmtId="3" fontId="47" fillId="3" borderId="3" xfId="0" applyNumberFormat="1" applyFont="1" applyFill="1" applyBorder="1" applyAlignment="1">
      <alignment horizontal="right" vertical="center" wrapText="1"/>
    </xf>
    <xf numFmtId="3" fontId="47" fillId="3" borderId="0" xfId="0" applyNumberFormat="1" applyFont="1" applyFill="1" applyBorder="1" applyAlignment="1">
      <alignment horizontal="right" vertical="center" wrapText="1"/>
    </xf>
    <xf numFmtId="3" fontId="47" fillId="18" borderId="0" xfId="0" applyNumberFormat="1" applyFont="1" applyFill="1" applyBorder="1" applyAlignment="1">
      <alignment horizontal="right" vertical="center" wrapText="1"/>
    </xf>
    <xf numFmtId="3" fontId="47" fillId="18" borderId="10" xfId="0" applyNumberFormat="1" applyFont="1" applyFill="1" applyBorder="1" applyAlignment="1">
      <alignment horizontal="right" vertical="center" wrapText="1"/>
    </xf>
    <xf numFmtId="0" fontId="50" fillId="3" borderId="3" xfId="0" applyFont="1" applyFill="1" applyBorder="1" applyAlignment="1">
      <alignment horizontal="left" vertical="center" wrapText="1" indent="1"/>
    </xf>
    <xf numFmtId="3" fontId="22" fillId="3" borderId="3" xfId="0" applyNumberFormat="1" applyFont="1" applyFill="1" applyBorder="1" applyAlignment="1">
      <alignment horizontal="right" vertical="center" wrapText="1"/>
    </xf>
    <xf numFmtId="3" fontId="22" fillId="3" borderId="0" xfId="0" applyNumberFormat="1" applyFont="1" applyFill="1" applyBorder="1" applyAlignment="1">
      <alignment horizontal="right" vertical="center" wrapText="1"/>
    </xf>
    <xf numFmtId="3" fontId="22" fillId="18" borderId="0" xfId="0" applyNumberFormat="1" applyFont="1" applyFill="1" applyBorder="1" applyAlignment="1">
      <alignment horizontal="right" vertical="center" wrapText="1"/>
    </xf>
    <xf numFmtId="3" fontId="37" fillId="3" borderId="0" xfId="0" applyNumberFormat="1" applyFont="1" applyFill="1" applyBorder="1" applyAlignment="1">
      <alignment horizontal="right" vertical="center" wrapText="1"/>
    </xf>
    <xf numFmtId="3" fontId="22" fillId="18" borderId="10" xfId="0" applyNumberFormat="1" applyFont="1" applyFill="1" applyBorder="1" applyAlignment="1">
      <alignment horizontal="right" vertical="center" wrapText="1"/>
    </xf>
    <xf numFmtId="0" fontId="51" fillId="3" borderId="3" xfId="0" applyFont="1" applyFill="1" applyBorder="1" applyAlignment="1">
      <alignment horizontal="left" vertical="center" wrapText="1" indent="3"/>
    </xf>
    <xf numFmtId="3" fontId="52" fillId="3" borderId="3" xfId="0" applyNumberFormat="1" applyFont="1" applyFill="1" applyBorder="1" applyAlignment="1">
      <alignment horizontal="right" vertical="center" wrapText="1"/>
    </xf>
    <xf numFmtId="3" fontId="52" fillId="3" borderId="0" xfId="0" applyNumberFormat="1" applyFont="1" applyFill="1" applyBorder="1" applyAlignment="1">
      <alignment horizontal="right" vertical="center" wrapText="1"/>
    </xf>
    <xf numFmtId="3" fontId="52" fillId="18" borderId="0" xfId="0" applyNumberFormat="1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3" fontId="52" fillId="18" borderId="10" xfId="0" applyNumberFormat="1" applyFont="1" applyFill="1" applyBorder="1" applyAlignment="1">
      <alignment horizontal="right" vertical="center" wrapText="1"/>
    </xf>
    <xf numFmtId="3" fontId="52" fillId="0" borderId="0" xfId="0" applyNumberFormat="1" applyFont="1" applyFill="1" applyBorder="1" applyAlignment="1">
      <alignment horizontal="right" vertical="center" wrapText="1"/>
    </xf>
    <xf numFmtId="3" fontId="22" fillId="3" borderId="29" xfId="0" applyNumberFormat="1" applyFont="1" applyFill="1" applyBorder="1" applyAlignment="1">
      <alignment horizontal="right" vertical="center" wrapText="1"/>
    </xf>
    <xf numFmtId="3" fontId="22" fillId="3" borderId="30" xfId="0" applyNumberFormat="1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left" vertical="center" wrapText="1"/>
    </xf>
    <xf numFmtId="3" fontId="47" fillId="3" borderId="32" xfId="0" applyNumberFormat="1" applyFont="1" applyFill="1" applyBorder="1" applyAlignment="1">
      <alignment horizontal="right" vertical="center" wrapText="1"/>
    </xf>
    <xf numFmtId="3" fontId="47" fillId="3" borderId="33" xfId="0" applyNumberFormat="1" applyFont="1" applyFill="1" applyBorder="1" applyAlignment="1">
      <alignment horizontal="right" vertical="center" wrapText="1"/>
    </xf>
    <xf numFmtId="3" fontId="47" fillId="18" borderId="33" xfId="0" applyNumberFormat="1" applyFont="1" applyFill="1" applyBorder="1" applyAlignment="1">
      <alignment horizontal="right" vertical="center" wrapText="1"/>
    </xf>
    <xf numFmtId="3" fontId="21" fillId="3" borderId="33" xfId="0" applyNumberFormat="1" applyFont="1" applyFill="1" applyBorder="1" applyAlignment="1">
      <alignment horizontal="right" vertical="center" wrapText="1"/>
    </xf>
    <xf numFmtId="3" fontId="47" fillId="18" borderId="34" xfId="0" applyNumberFormat="1" applyFont="1" applyFill="1" applyBorder="1" applyAlignment="1">
      <alignment horizontal="right" vertical="center" wrapText="1"/>
    </xf>
    <xf numFmtId="0" fontId="50" fillId="3" borderId="4" xfId="0" applyFont="1" applyFill="1" applyBorder="1" applyAlignment="1">
      <alignment horizontal="left" vertical="center"/>
    </xf>
    <xf numFmtId="166" fontId="22" fillId="3" borderId="4" xfId="0" applyNumberFormat="1" applyFont="1" applyFill="1" applyBorder="1" applyAlignment="1">
      <alignment horizontal="right" vertical="center" wrapText="1"/>
    </xf>
    <xf numFmtId="166" fontId="22" fillId="3" borderId="11" xfId="0" applyNumberFormat="1" applyFont="1" applyFill="1" applyBorder="1" applyAlignment="1">
      <alignment horizontal="right" vertical="center" wrapText="1"/>
    </xf>
    <xf numFmtId="166" fontId="22" fillId="18" borderId="11" xfId="0" applyNumberFormat="1" applyFont="1" applyFill="1" applyBorder="1" applyAlignment="1">
      <alignment horizontal="right" vertical="center" wrapText="1"/>
    </xf>
    <xf numFmtId="169" fontId="37" fillId="3" borderId="0" xfId="0" applyNumberFormat="1" applyFont="1" applyFill="1" applyBorder="1" applyAlignment="1">
      <alignment horizontal="right" vertical="center" wrapText="1"/>
    </xf>
    <xf numFmtId="166" fontId="22" fillId="18" borderId="12" xfId="0" applyNumberFormat="1" applyFont="1" applyFill="1" applyBorder="1" applyAlignment="1">
      <alignment horizontal="right" vertical="center" wrapText="1"/>
    </xf>
    <xf numFmtId="0" fontId="50" fillId="3" borderId="3" xfId="0" applyFont="1" applyFill="1" applyBorder="1" applyAlignment="1">
      <alignment horizontal="left" vertical="center" wrapText="1"/>
    </xf>
    <xf numFmtId="3" fontId="22" fillId="17" borderId="3" xfId="0" applyNumberFormat="1" applyFont="1" applyFill="1" applyBorder="1" applyAlignment="1">
      <alignment horizontal="right" vertical="center" wrapText="1"/>
    </xf>
    <xf numFmtId="3" fontId="22" fillId="17" borderId="0" xfId="0" applyNumberFormat="1" applyFont="1" applyFill="1" applyBorder="1" applyAlignment="1">
      <alignment horizontal="right" vertical="center" wrapText="1"/>
    </xf>
    <xf numFmtId="168" fontId="22" fillId="3" borderId="0" xfId="0" applyNumberFormat="1" applyFont="1" applyFill="1" applyBorder="1" applyAlignment="1">
      <alignment horizontal="right" vertical="center" wrapText="1"/>
    </xf>
    <xf numFmtId="168" fontId="22" fillId="18" borderId="0" xfId="0" applyNumberFormat="1" applyFont="1" applyFill="1" applyBorder="1" applyAlignment="1">
      <alignment horizontal="right" vertical="center" wrapText="1"/>
    </xf>
    <xf numFmtId="168" fontId="22" fillId="3" borderId="3" xfId="0" applyNumberFormat="1" applyFont="1" applyFill="1" applyBorder="1" applyAlignment="1">
      <alignment horizontal="right" vertical="center" wrapText="1"/>
    </xf>
    <xf numFmtId="168" fontId="37" fillId="3" borderId="0" xfId="0" applyNumberFormat="1" applyFont="1" applyFill="1" applyBorder="1" applyAlignment="1">
      <alignment horizontal="right" vertical="center" wrapText="1"/>
    </xf>
    <xf numFmtId="168" fontId="22" fillId="18" borderId="10" xfId="0" applyNumberFormat="1" applyFont="1" applyFill="1" applyBorder="1" applyAlignment="1">
      <alignment horizontal="right" vertical="center" wrapText="1"/>
    </xf>
    <xf numFmtId="2" fontId="22" fillId="3" borderId="5" xfId="0" applyNumberFormat="1" applyFont="1" applyFill="1" applyBorder="1" applyAlignment="1">
      <alignment horizontal="right" vertical="center" wrapText="1"/>
    </xf>
    <xf numFmtId="2" fontId="22" fillId="3" borderId="18" xfId="0" applyNumberFormat="1" applyFont="1" applyFill="1" applyBorder="1" applyAlignment="1">
      <alignment horizontal="right" vertical="center" wrapText="1"/>
    </xf>
    <xf numFmtId="2" fontId="22" fillId="18" borderId="19" xfId="0" applyNumberFormat="1" applyFont="1" applyFill="1" applyBorder="1" applyAlignment="1">
      <alignment horizontal="right" vertical="center" wrapText="1"/>
    </xf>
    <xf numFmtId="4" fontId="37" fillId="3" borderId="18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/>
    </xf>
    <xf numFmtId="3" fontId="47" fillId="3" borderId="4" xfId="0" applyNumberFormat="1" applyFont="1" applyFill="1" applyBorder="1" applyAlignment="1">
      <alignment horizontal="right" vertical="center" wrapText="1"/>
    </xf>
    <xf numFmtId="3" fontId="47" fillId="3" borderId="11" xfId="0" applyNumberFormat="1" applyFont="1" applyFill="1" applyBorder="1" applyAlignment="1">
      <alignment horizontal="right" vertical="center" wrapText="1"/>
    </xf>
    <xf numFmtId="3" fontId="52" fillId="3" borderId="3" xfId="6" applyNumberFormat="1" applyFont="1" applyFill="1" applyBorder="1" applyAlignment="1">
      <alignment horizontal="right" vertical="center" wrapText="1"/>
    </xf>
    <xf numFmtId="3" fontId="22" fillId="3" borderId="3" xfId="6" applyNumberFormat="1" applyFont="1" applyFill="1" applyBorder="1" applyAlignment="1">
      <alignment horizontal="right" vertical="center" wrapText="1"/>
    </xf>
    <xf numFmtId="0" fontId="20" fillId="3" borderId="35" xfId="0" applyFont="1" applyFill="1" applyBorder="1" applyAlignment="1">
      <alignment horizontal="left" vertical="center" wrapText="1"/>
    </xf>
    <xf numFmtId="3" fontId="10" fillId="3" borderId="35" xfId="0" applyNumberFormat="1" applyFont="1" applyFill="1" applyBorder="1" applyAlignment="1">
      <alignment vertical="center"/>
    </xf>
    <xf numFmtId="3" fontId="10" fillId="3" borderId="33" xfId="0" applyNumberFormat="1" applyFont="1" applyFill="1" applyBorder="1" applyAlignment="1">
      <alignment vertical="center"/>
    </xf>
    <xf numFmtId="3" fontId="10" fillId="18" borderId="33" xfId="0" applyNumberFormat="1" applyFont="1" applyFill="1" applyBorder="1" applyAlignment="1">
      <alignment vertical="center"/>
    </xf>
    <xf numFmtId="3" fontId="10" fillId="3" borderId="32" xfId="0" applyNumberFormat="1" applyFont="1" applyFill="1" applyBorder="1" applyAlignment="1">
      <alignment vertical="center"/>
    </xf>
    <xf numFmtId="3" fontId="10" fillId="18" borderId="34" xfId="0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3" fontId="19" fillId="20" borderId="4" xfId="0" applyNumberFormat="1" applyFont="1" applyFill="1" applyBorder="1" applyAlignment="1">
      <alignment horizontal="right" vertical="center" wrapText="1"/>
    </xf>
    <xf numFmtId="3" fontId="19" fillId="20" borderId="11" xfId="0" applyNumberFormat="1" applyFont="1" applyFill="1" applyBorder="1" applyAlignment="1">
      <alignment horizontal="right" vertical="center" wrapText="1"/>
    </xf>
    <xf numFmtId="3" fontId="19" fillId="19" borderId="12" xfId="0" applyNumberFormat="1" applyFont="1" applyFill="1" applyBorder="1" applyAlignment="1">
      <alignment horizontal="right" vertical="center" wrapText="1"/>
    </xf>
    <xf numFmtId="166" fontId="54" fillId="2" borderId="4" xfId="0" applyNumberFormat="1" applyFont="1" applyFill="1" applyBorder="1" applyAlignment="1">
      <alignment horizontal="right" vertical="center" wrapText="1"/>
    </xf>
    <xf numFmtId="166" fontId="54" fillId="2" borderId="11" xfId="0" applyNumberFormat="1" applyFont="1" applyFill="1" applyBorder="1" applyAlignment="1">
      <alignment horizontal="right" vertical="center" wrapText="1"/>
    </xf>
    <xf numFmtId="166" fontId="19" fillId="2" borderId="0" xfId="0" applyNumberFormat="1" applyFont="1" applyFill="1" applyBorder="1" applyAlignment="1">
      <alignment horizontal="right" vertical="center" wrapText="1"/>
    </xf>
    <xf numFmtId="3" fontId="47" fillId="17" borderId="3" xfId="0" applyNumberFormat="1" applyFont="1" applyFill="1" applyBorder="1" applyAlignment="1">
      <alignment horizontal="right" vertical="center" wrapText="1"/>
    </xf>
    <xf numFmtId="3" fontId="47" fillId="17" borderId="0" xfId="0" applyNumberFormat="1" applyFont="1" applyFill="1" applyBorder="1" applyAlignment="1">
      <alignment horizontal="right" vertical="center" wrapText="1"/>
    </xf>
    <xf numFmtId="3" fontId="22" fillId="17" borderId="5" xfId="0" applyNumberFormat="1" applyFont="1" applyFill="1" applyBorder="1" applyAlignment="1">
      <alignment horizontal="right" vertical="center" wrapText="1"/>
    </xf>
    <xf numFmtId="3" fontId="22" fillId="17" borderId="18" xfId="0" applyNumberFormat="1" applyFont="1" applyFill="1" applyBorder="1" applyAlignment="1">
      <alignment horizontal="right" vertical="center" wrapText="1"/>
    </xf>
    <xf numFmtId="0" fontId="50" fillId="3" borderId="6" xfId="0" applyFont="1" applyFill="1" applyBorder="1" applyAlignment="1">
      <alignment horizontal="left" vertical="center" wrapText="1"/>
    </xf>
    <xf numFmtId="3" fontId="22" fillId="17" borderId="6" xfId="0" applyNumberFormat="1" applyFont="1" applyFill="1" applyBorder="1" applyAlignment="1">
      <alignment horizontal="right" vertical="center" wrapText="1"/>
    </xf>
    <xf numFmtId="3" fontId="22" fillId="17" borderId="7" xfId="0" applyNumberFormat="1" applyFont="1" applyFill="1" applyBorder="1" applyAlignment="1">
      <alignment horizontal="right" vertical="center" wrapText="1"/>
    </xf>
    <xf numFmtId="3" fontId="22" fillId="18" borderId="8" xfId="0" applyNumberFormat="1" applyFont="1" applyFill="1" applyBorder="1" applyAlignment="1">
      <alignment horizontal="right" vertical="center" wrapText="1"/>
    </xf>
    <xf numFmtId="166" fontId="22" fillId="3" borderId="6" xfId="0" applyNumberFormat="1" applyFont="1" applyFill="1" applyBorder="1" applyAlignment="1">
      <alignment horizontal="right" vertical="center" wrapText="1"/>
    </xf>
    <xf numFmtId="166" fontId="22" fillId="3" borderId="7" xfId="0" applyNumberFormat="1" applyFont="1" applyFill="1" applyBorder="1" applyAlignment="1">
      <alignment horizontal="right" vertical="center" wrapText="1"/>
    </xf>
    <xf numFmtId="169" fontId="22" fillId="18" borderId="8" xfId="0" applyNumberFormat="1" applyFont="1" applyFill="1" applyBorder="1" applyAlignment="1">
      <alignment horizontal="right" vertical="center" wrapText="1"/>
    </xf>
    <xf numFmtId="0" fontId="22" fillId="3" borderId="7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3" fontId="47" fillId="17" borderId="4" xfId="0" applyNumberFormat="1" applyFont="1" applyFill="1" applyBorder="1" applyAlignment="1">
      <alignment horizontal="right" vertical="center" wrapText="1"/>
    </xf>
    <xf numFmtId="3" fontId="47" fillId="17" borderId="11" xfId="0" applyNumberFormat="1" applyFont="1" applyFill="1" applyBorder="1" applyAlignment="1">
      <alignment horizontal="right" vertical="center" wrapText="1"/>
    </xf>
    <xf numFmtId="3" fontId="47" fillId="18" borderId="12" xfId="0" applyNumberFormat="1" applyFont="1" applyFill="1" applyBorder="1" applyAlignment="1">
      <alignment horizontal="right" vertical="center" wrapText="1"/>
    </xf>
    <xf numFmtId="0" fontId="50" fillId="3" borderId="5" xfId="0" applyFont="1" applyFill="1" applyBorder="1" applyAlignment="1">
      <alignment horizontal="left" vertical="center" wrapText="1" indent="1"/>
    </xf>
    <xf numFmtId="3" fontId="22" fillId="18" borderId="19" xfId="0" applyNumberFormat="1" applyFont="1" applyFill="1" applyBorder="1" applyAlignment="1">
      <alignment horizontal="right" vertical="center" wrapText="1"/>
    </xf>
    <xf numFmtId="3" fontId="22" fillId="3" borderId="5" xfId="0" applyNumberFormat="1" applyFont="1" applyFill="1" applyBorder="1" applyAlignment="1">
      <alignment horizontal="right" vertical="center" wrapText="1"/>
    </xf>
    <xf numFmtId="3" fontId="22" fillId="3" borderId="18" xfId="0" applyNumberFormat="1" applyFont="1" applyFill="1" applyBorder="1" applyAlignment="1">
      <alignment horizontal="right" vertical="center" wrapText="1"/>
    </xf>
    <xf numFmtId="3" fontId="37" fillId="3" borderId="18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0" fillId="3" borderId="0" xfId="0" applyFill="1" applyBorder="1"/>
    <xf numFmtId="0" fontId="16" fillId="3" borderId="22" xfId="0" applyFont="1" applyFill="1" applyBorder="1" applyAlignment="1">
      <alignment vertical="center" wrapText="1"/>
    </xf>
    <xf numFmtId="10" fontId="16" fillId="2" borderId="0" xfId="0" applyNumberFormat="1" applyFont="1" applyFill="1" applyAlignment="1">
      <alignment horizontal="right" vertical="center" wrapText="1" indent="1"/>
    </xf>
    <xf numFmtId="179" fontId="33" fillId="21" borderId="12" xfId="0" applyNumberFormat="1" applyFont="1" applyFill="1" applyBorder="1" applyAlignment="1">
      <alignment horizontal="right" vertical="center" wrapText="1" indent="1"/>
    </xf>
    <xf numFmtId="10" fontId="58" fillId="3" borderId="0" xfId="2" applyNumberFormat="1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vertical="center" wrapText="1"/>
    </xf>
    <xf numFmtId="10" fontId="16" fillId="2" borderId="36" xfId="0" applyNumberFormat="1" applyFont="1" applyFill="1" applyBorder="1" applyAlignment="1">
      <alignment horizontal="right" vertical="center" wrapText="1" indent="1"/>
    </xf>
    <xf numFmtId="10" fontId="16" fillId="3" borderId="37" xfId="0" applyNumberFormat="1" applyFont="1" applyFill="1" applyBorder="1" applyAlignment="1">
      <alignment horizontal="right" vertical="center" wrapText="1" indent="1"/>
    </xf>
    <xf numFmtId="179" fontId="33" fillId="21" borderId="38" xfId="0" applyNumberFormat="1" applyFont="1" applyFill="1" applyBorder="1" applyAlignment="1">
      <alignment horizontal="right" vertical="center" wrapText="1" indent="1"/>
    </xf>
    <xf numFmtId="10" fontId="6" fillId="2" borderId="0" xfId="0" applyNumberFormat="1" applyFont="1" applyFill="1" applyAlignment="1">
      <alignment horizontal="right" vertical="center" wrapText="1" indent="1"/>
    </xf>
    <xf numFmtId="10" fontId="6" fillId="3" borderId="0" xfId="0" applyNumberFormat="1" applyFont="1" applyFill="1" applyAlignment="1">
      <alignment horizontal="right" vertical="center" wrapText="1" indent="1"/>
    </xf>
    <xf numFmtId="179" fontId="32" fillId="21" borderId="10" xfId="0" applyNumberFormat="1" applyFont="1" applyFill="1" applyBorder="1" applyAlignment="1">
      <alignment horizontal="right" vertical="center" wrapText="1" indent="1"/>
    </xf>
    <xf numFmtId="10" fontId="14" fillId="3" borderId="0" xfId="2" applyNumberFormat="1" applyFont="1" applyFill="1" applyBorder="1" applyAlignment="1">
      <alignment horizontal="right" vertical="center" wrapText="1"/>
    </xf>
    <xf numFmtId="0" fontId="58" fillId="3" borderId="6" xfId="0" applyFont="1" applyFill="1" applyBorder="1" applyAlignment="1">
      <alignment vertical="center" wrapText="1"/>
    </xf>
    <xf numFmtId="168" fontId="58" fillId="3" borderId="0" xfId="2" applyNumberFormat="1" applyFont="1" applyFill="1" applyBorder="1" applyAlignment="1">
      <alignment horizontal="right" vertical="center" wrapText="1"/>
    </xf>
    <xf numFmtId="0" fontId="38" fillId="3" borderId="0" xfId="0" applyFont="1" applyFill="1"/>
    <xf numFmtId="0" fontId="0" fillId="3" borderId="0" xfId="0" applyFill="1" applyAlignment="1">
      <alignment wrapText="1"/>
    </xf>
    <xf numFmtId="0" fontId="37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8" fillId="5" borderId="5" xfId="0" applyFont="1" applyFill="1" applyBorder="1" applyAlignment="1">
      <alignment horizontal="right" vertical="center"/>
    </xf>
    <xf numFmtId="0" fontId="28" fillId="5" borderId="18" xfId="0" applyFont="1" applyFill="1" applyBorder="1" applyAlignment="1">
      <alignment horizontal="right" vertical="center"/>
    </xf>
    <xf numFmtId="0" fontId="24" fillId="4" borderId="18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right" vertical="center" wrapText="1"/>
    </xf>
    <xf numFmtId="0" fontId="29" fillId="4" borderId="19" xfId="0" applyFont="1" applyFill="1" applyBorder="1" applyAlignment="1">
      <alignment horizontal="right" vertical="center" wrapText="1"/>
    </xf>
    <xf numFmtId="0" fontId="29" fillId="4" borderId="8" xfId="0" applyFont="1" applyFill="1" applyBorder="1" applyAlignment="1">
      <alignment horizontal="right" vertical="center" wrapText="1"/>
    </xf>
    <xf numFmtId="166" fontId="26" fillId="6" borderId="11" xfId="0" applyNumberFormat="1" applyFont="1" applyFill="1" applyBorder="1" applyAlignment="1">
      <alignment vertical="center" wrapText="1"/>
    </xf>
    <xf numFmtId="0" fontId="24" fillId="3" borderId="6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vertical="center"/>
    </xf>
    <xf numFmtId="0" fontId="55" fillId="5" borderId="6" xfId="0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right" vertical="center" wrapText="1"/>
    </xf>
    <xf numFmtId="0" fontId="56" fillId="4" borderId="8" xfId="0" applyFont="1" applyFill="1" applyBorder="1" applyAlignment="1">
      <alignment horizontal="right" vertical="center" wrapText="1"/>
    </xf>
    <xf numFmtId="0" fontId="25" fillId="15" borderId="28" xfId="0" applyFont="1" applyFill="1" applyBorder="1" applyAlignment="1">
      <alignment horizontal="center" vertical="center" wrapText="1"/>
    </xf>
    <xf numFmtId="168" fontId="6" fillId="3" borderId="0" xfId="0" applyNumberFormat="1" applyFont="1" applyFill="1" applyBorder="1" applyAlignment="1">
      <alignment horizontal="right" wrapText="1" indent="1"/>
    </xf>
    <xf numFmtId="182" fontId="12" fillId="14" borderId="10" xfId="0" applyNumberFormat="1" applyFont="1" applyFill="1" applyBorder="1" applyAlignment="1">
      <alignment vertical="center"/>
    </xf>
    <xf numFmtId="182" fontId="42" fillId="14" borderId="10" xfId="0" applyNumberFormat="1" applyFont="1" applyFill="1" applyBorder="1" applyAlignment="1">
      <alignment vertical="center"/>
    </xf>
    <xf numFmtId="182" fontId="25" fillId="12" borderId="8" xfId="0" applyNumberFormat="1" applyFont="1" applyFill="1" applyBorder="1" applyAlignment="1">
      <alignment vertical="center"/>
    </xf>
    <xf numFmtId="182" fontId="25" fillId="4" borderId="28" xfId="0" applyNumberFormat="1" applyFont="1" applyFill="1" applyBorder="1" applyAlignment="1">
      <alignment vertical="center"/>
    </xf>
    <xf numFmtId="182" fontId="12" fillId="14" borderId="12" xfId="0" applyNumberFormat="1" applyFont="1" applyFill="1" applyBorder="1" applyAlignment="1">
      <alignment vertical="center"/>
    </xf>
    <xf numFmtId="183" fontId="25" fillId="12" borderId="8" xfId="0" applyNumberFormat="1" applyFont="1" applyFill="1" applyBorder="1" applyAlignment="1">
      <alignment vertical="center"/>
    </xf>
    <xf numFmtId="183" fontId="12" fillId="14" borderId="10" xfId="0" applyNumberFormat="1" applyFont="1" applyFill="1" applyBorder="1" applyAlignment="1">
      <alignment vertical="center"/>
    </xf>
    <xf numFmtId="183" fontId="27" fillId="14" borderId="10" xfId="0" applyNumberFormat="1" applyFont="1" applyFill="1" applyBorder="1" applyAlignment="1">
      <alignment horizontal="right" vertical="center"/>
    </xf>
    <xf numFmtId="183" fontId="25" fillId="4" borderId="28" xfId="0" applyNumberFormat="1" applyFont="1" applyFill="1" applyBorder="1" applyAlignment="1">
      <alignment vertical="center"/>
    </xf>
    <xf numFmtId="183" fontId="25" fillId="3" borderId="6" xfId="0" applyNumberFormat="1" applyFont="1" applyFill="1" applyBorder="1" applyAlignment="1">
      <alignment vertical="center"/>
    </xf>
    <xf numFmtId="183" fontId="25" fillId="3" borderId="7" xfId="0" applyNumberFormat="1" applyFont="1" applyFill="1" applyBorder="1" applyAlignment="1">
      <alignment vertical="center"/>
    </xf>
    <xf numFmtId="183" fontId="25" fillId="2" borderId="8" xfId="0" applyNumberFormat="1" applyFont="1" applyFill="1" applyBorder="1" applyAlignment="1">
      <alignment vertical="center"/>
    </xf>
    <xf numFmtId="183" fontId="12" fillId="3" borderId="3" xfId="0" applyNumberFormat="1" applyFont="1" applyFill="1" applyBorder="1" applyAlignment="1">
      <alignment vertical="center"/>
    </xf>
    <xf numFmtId="183" fontId="12" fillId="3" borderId="0" xfId="0" applyNumberFormat="1" applyFont="1" applyFill="1" applyBorder="1" applyAlignment="1">
      <alignment vertical="center"/>
    </xf>
    <xf numFmtId="183" fontId="12" fillId="2" borderId="10" xfId="0" applyNumberFormat="1" applyFont="1" applyFill="1" applyBorder="1" applyAlignment="1">
      <alignment vertical="center"/>
    </xf>
    <xf numFmtId="183" fontId="25" fillId="12" borderId="6" xfId="0" applyNumberFormat="1" applyFont="1" applyFill="1" applyBorder="1" applyAlignment="1">
      <alignment vertical="center"/>
    </xf>
    <xf numFmtId="183" fontId="25" fillId="12" borderId="7" xfId="0" applyNumberFormat="1" applyFont="1" applyFill="1" applyBorder="1" applyAlignment="1">
      <alignment vertical="center"/>
    </xf>
    <xf numFmtId="183" fontId="25" fillId="7" borderId="8" xfId="0" applyNumberFormat="1" applyFont="1" applyFill="1" applyBorder="1" applyAlignment="1">
      <alignment vertical="center"/>
    </xf>
    <xf numFmtId="183" fontId="25" fillId="3" borderId="15" xfId="0" applyNumberFormat="1" applyFont="1" applyFill="1" applyBorder="1" applyAlignment="1">
      <alignment vertical="center"/>
    </xf>
    <xf numFmtId="183" fontId="25" fillId="3" borderId="2" xfId="0" applyNumberFormat="1" applyFont="1" applyFill="1" applyBorder="1" applyAlignment="1">
      <alignment vertical="center"/>
    </xf>
    <xf numFmtId="183" fontId="25" fillId="2" borderId="16" xfId="0" applyNumberFormat="1" applyFont="1" applyFill="1" applyBorder="1" applyAlignment="1">
      <alignment vertical="center"/>
    </xf>
    <xf numFmtId="183" fontId="25" fillId="2" borderId="7" xfId="0" applyNumberFormat="1" applyFont="1" applyFill="1" applyBorder="1" applyAlignment="1">
      <alignment vertical="center"/>
    </xf>
    <xf numFmtId="183" fontId="12" fillId="3" borderId="0" xfId="0" applyNumberFormat="1" applyFont="1" applyFill="1" applyAlignment="1">
      <alignment vertical="center"/>
    </xf>
    <xf numFmtId="183" fontId="12" fillId="2" borderId="0" xfId="0" applyNumberFormat="1" applyFont="1" applyFill="1" applyAlignment="1">
      <alignment vertical="center"/>
    </xf>
    <xf numFmtId="183" fontId="25" fillId="7" borderId="7" xfId="0" applyNumberFormat="1" applyFont="1" applyFill="1" applyBorder="1" applyAlignment="1">
      <alignment vertical="center"/>
    </xf>
    <xf numFmtId="183" fontId="25" fillId="2" borderId="2" xfId="0" applyNumberFormat="1" applyFont="1" applyFill="1" applyBorder="1" applyAlignment="1">
      <alignment vertical="center"/>
    </xf>
    <xf numFmtId="183" fontId="12" fillId="2" borderId="0" xfId="0" applyNumberFormat="1" applyFont="1" applyFill="1" applyBorder="1" applyAlignment="1">
      <alignment vertical="center"/>
    </xf>
    <xf numFmtId="184" fontId="12" fillId="3" borderId="0" xfId="0" applyNumberFormat="1" applyFont="1" applyFill="1" applyBorder="1" applyAlignment="1">
      <alignment vertical="center"/>
    </xf>
    <xf numFmtId="184" fontId="12" fillId="3" borderId="10" xfId="0" applyNumberFormat="1" applyFont="1" applyFill="1" applyBorder="1" applyAlignment="1">
      <alignment vertical="center"/>
    </xf>
    <xf numFmtId="184" fontId="12" fillId="3" borderId="3" xfId="0" applyNumberFormat="1" applyFont="1" applyFill="1" applyBorder="1" applyAlignment="1">
      <alignment vertical="center"/>
    </xf>
    <xf numFmtId="184" fontId="12" fillId="3" borderId="0" xfId="0" applyNumberFormat="1" applyFont="1" applyFill="1" applyAlignment="1">
      <alignment vertical="center"/>
    </xf>
    <xf numFmtId="184" fontId="12" fillId="3" borderId="18" xfId="0" applyNumberFormat="1" applyFont="1" applyFill="1" applyBorder="1" applyAlignment="1">
      <alignment vertical="center"/>
    </xf>
    <xf numFmtId="183" fontId="12" fillId="0" borderId="0" xfId="0" applyNumberFormat="1" applyFont="1" applyFill="1" applyBorder="1" applyAlignment="1">
      <alignment vertical="center"/>
    </xf>
    <xf numFmtId="183" fontId="6" fillId="2" borderId="11" xfId="0" applyNumberFormat="1" applyFont="1" applyFill="1" applyBorder="1" applyAlignment="1">
      <alignment horizontal="right" vertical="center"/>
    </xf>
    <xf numFmtId="183" fontId="6" fillId="3" borderId="11" xfId="0" applyNumberFormat="1" applyFont="1" applyFill="1" applyBorder="1" applyAlignment="1">
      <alignment horizontal="right" vertical="center"/>
    </xf>
    <xf numFmtId="183" fontId="32" fillId="3" borderId="12" xfId="0" applyNumberFormat="1" applyFont="1" applyFill="1" applyBorder="1" applyAlignment="1">
      <alignment horizontal="right" vertical="center"/>
    </xf>
    <xf numFmtId="183" fontId="6" fillId="2" borderId="3" xfId="0" applyNumberFormat="1" applyFont="1" applyFill="1" applyBorder="1" applyAlignment="1">
      <alignment horizontal="right" vertical="center"/>
    </xf>
    <xf numFmtId="183" fontId="6" fillId="2" borderId="0" xfId="0" applyNumberFormat="1" applyFont="1" applyFill="1" applyBorder="1" applyAlignment="1">
      <alignment horizontal="right" vertical="center"/>
    </xf>
    <xf numFmtId="183" fontId="6" fillId="3" borderId="0" xfId="0" applyNumberFormat="1" applyFont="1" applyFill="1" applyBorder="1" applyAlignment="1">
      <alignment horizontal="right" vertical="center"/>
    </xf>
    <xf numFmtId="183" fontId="32" fillId="3" borderId="10" xfId="0" applyNumberFormat="1" applyFont="1" applyFill="1" applyBorder="1" applyAlignment="1">
      <alignment horizontal="right" vertical="center"/>
    </xf>
    <xf numFmtId="183" fontId="16" fillId="2" borderId="3" xfId="0" applyNumberFormat="1" applyFont="1" applyFill="1" applyBorder="1" applyAlignment="1">
      <alignment horizontal="right" vertical="center"/>
    </xf>
    <xf numFmtId="183" fontId="16" fillId="2" borderId="0" xfId="0" applyNumberFormat="1" applyFont="1" applyFill="1" applyBorder="1" applyAlignment="1">
      <alignment horizontal="right" vertical="center"/>
    </xf>
    <xf numFmtId="183" fontId="16" fillId="3" borderId="0" xfId="0" applyNumberFormat="1" applyFont="1" applyFill="1" applyBorder="1" applyAlignment="1">
      <alignment horizontal="right" vertical="center"/>
    </xf>
    <xf numFmtId="183" fontId="33" fillId="3" borderId="10" xfId="0" applyNumberFormat="1" applyFont="1" applyFill="1" applyBorder="1" applyAlignment="1">
      <alignment horizontal="right" vertical="center"/>
    </xf>
    <xf numFmtId="183" fontId="16" fillId="2" borderId="1" xfId="0" applyNumberFormat="1" applyFont="1" applyFill="1" applyBorder="1" applyAlignment="1">
      <alignment horizontal="right" vertical="center"/>
    </xf>
    <xf numFmtId="183" fontId="16" fillId="3" borderId="1" xfId="0" applyNumberFormat="1" applyFont="1" applyFill="1" applyBorder="1" applyAlignment="1">
      <alignment horizontal="right" vertical="center"/>
    </xf>
    <xf numFmtId="183" fontId="6" fillId="2" borderId="26" xfId="0" applyNumberFormat="1" applyFont="1" applyFill="1" applyBorder="1" applyAlignment="1">
      <alignment horizontal="right" vertical="center"/>
    </xf>
    <xf numFmtId="183" fontId="6" fillId="3" borderId="27" xfId="0" applyNumberFormat="1" applyFont="1" applyFill="1" applyBorder="1" applyAlignment="1">
      <alignment horizontal="right" vertical="center"/>
    </xf>
    <xf numFmtId="183" fontId="32" fillId="3" borderId="28" xfId="0" applyNumberFormat="1" applyFont="1" applyFill="1" applyBorder="1" applyAlignment="1">
      <alignment horizontal="right" vertical="center"/>
    </xf>
    <xf numFmtId="183" fontId="0" fillId="2" borderId="4" xfId="0" applyNumberFormat="1" applyFill="1" applyBorder="1" applyAlignment="1">
      <alignment vertical="center"/>
    </xf>
    <xf numFmtId="183" fontId="0" fillId="2" borderId="11" xfId="0" applyNumberFormat="1" applyFill="1" applyBorder="1" applyAlignment="1">
      <alignment vertical="center"/>
    </xf>
    <xf numFmtId="183" fontId="0" fillId="3" borderId="11" xfId="0" applyNumberFormat="1" applyFill="1" applyBorder="1" applyAlignment="1">
      <alignment vertical="center"/>
    </xf>
    <xf numFmtId="183" fontId="36" fillId="3" borderId="12" xfId="0" applyNumberFormat="1" applyFont="1" applyFill="1" applyBorder="1" applyAlignment="1">
      <alignment vertical="center"/>
    </xf>
    <xf numFmtId="183" fontId="6" fillId="2" borderId="0" xfId="0" applyNumberFormat="1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183" fontId="6" fillId="2" borderId="5" xfId="0" applyNumberFormat="1" applyFont="1" applyFill="1" applyBorder="1" applyAlignment="1">
      <alignment vertical="center"/>
    </xf>
    <xf numFmtId="183" fontId="6" fillId="2" borderId="18" xfId="0" applyNumberFormat="1" applyFont="1" applyFill="1" applyBorder="1" applyAlignment="1">
      <alignment vertical="center"/>
    </xf>
    <xf numFmtId="183" fontId="6" fillId="3" borderId="18" xfId="0" applyNumberFormat="1" applyFont="1" applyFill="1" applyBorder="1" applyAlignment="1">
      <alignment vertical="center"/>
    </xf>
    <xf numFmtId="185" fontId="35" fillId="2" borderId="27" xfId="0" applyNumberFormat="1" applyFont="1" applyFill="1" applyBorder="1" applyAlignment="1">
      <alignment horizontal="right" vertical="center"/>
    </xf>
    <xf numFmtId="185" fontId="35" fillId="3" borderId="27" xfId="0" applyNumberFormat="1" applyFont="1" applyFill="1" applyBorder="1" applyAlignment="1">
      <alignment horizontal="right" vertical="center"/>
    </xf>
    <xf numFmtId="183" fontId="32" fillId="3" borderId="19" xfId="0" applyNumberFormat="1" applyFont="1" applyFill="1" applyBorder="1" applyAlignment="1">
      <alignment vertical="center"/>
    </xf>
    <xf numFmtId="183" fontId="32" fillId="3" borderId="11" xfId="0" applyNumberFormat="1" applyFont="1" applyFill="1" applyBorder="1" applyAlignment="1">
      <alignment horizontal="right" vertical="center"/>
    </xf>
    <xf numFmtId="183" fontId="32" fillId="3" borderId="0" xfId="0" applyNumberFormat="1" applyFont="1" applyFill="1" applyBorder="1" applyAlignment="1">
      <alignment horizontal="right" vertical="center"/>
    </xf>
    <xf numFmtId="183" fontId="33" fillId="3" borderId="0" xfId="0" applyNumberFormat="1" applyFont="1" applyFill="1" applyBorder="1" applyAlignment="1">
      <alignment horizontal="right" vertical="center"/>
    </xf>
    <xf numFmtId="183" fontId="32" fillId="3" borderId="27" xfId="0" applyNumberFormat="1" applyFont="1" applyFill="1" applyBorder="1" applyAlignment="1">
      <alignment horizontal="right" vertical="center"/>
    </xf>
    <xf numFmtId="183" fontId="36" fillId="3" borderId="11" xfId="0" applyNumberFormat="1" applyFont="1" applyFill="1" applyBorder="1" applyAlignment="1">
      <alignment vertical="center"/>
    </xf>
    <xf numFmtId="183" fontId="32" fillId="3" borderId="19" xfId="0" applyNumberFormat="1" applyFont="1" applyFill="1" applyBorder="1" applyAlignment="1">
      <alignment horizontal="right" vertical="center"/>
    </xf>
    <xf numFmtId="183" fontId="6" fillId="2" borderId="3" xfId="0" applyNumberFormat="1" applyFont="1" applyFill="1" applyBorder="1" applyAlignment="1">
      <alignment horizontal="right" vertical="center" wrapText="1"/>
    </xf>
    <xf numFmtId="183" fontId="6" fillId="2" borderId="0" xfId="0" applyNumberFormat="1" applyFont="1" applyFill="1" applyBorder="1" applyAlignment="1">
      <alignment horizontal="right" vertical="center" wrapText="1"/>
    </xf>
    <xf numFmtId="183" fontId="6" fillId="3" borderId="0" xfId="0" applyNumberFormat="1" applyFont="1" applyFill="1" applyBorder="1" applyAlignment="1">
      <alignment horizontal="right" vertical="center" wrapText="1"/>
    </xf>
    <xf numFmtId="183" fontId="32" fillId="3" borderId="10" xfId="0" applyNumberFormat="1" applyFont="1" applyFill="1" applyBorder="1" applyAlignment="1">
      <alignment horizontal="right" vertical="center" wrapText="1"/>
    </xf>
    <xf numFmtId="183" fontId="33" fillId="3" borderId="10" xfId="0" applyNumberFormat="1" applyFont="1" applyFill="1" applyBorder="1" applyAlignment="1">
      <alignment horizontal="right" vertical="center" wrapText="1"/>
    </xf>
    <xf numFmtId="183" fontId="16" fillId="2" borderId="3" xfId="0" applyNumberFormat="1" applyFont="1" applyFill="1" applyBorder="1" applyAlignment="1">
      <alignment horizontal="right" vertical="center" wrapText="1"/>
    </xf>
    <xf numFmtId="183" fontId="16" fillId="2" borderId="0" xfId="0" applyNumberFormat="1" applyFont="1" applyFill="1" applyBorder="1" applyAlignment="1">
      <alignment horizontal="right" vertical="center" wrapText="1"/>
    </xf>
    <xf numFmtId="183" fontId="16" fillId="3" borderId="0" xfId="0" applyNumberFormat="1" applyFont="1" applyFill="1" applyBorder="1" applyAlignment="1">
      <alignment horizontal="right" vertical="center" wrapText="1"/>
    </xf>
    <xf numFmtId="183" fontId="6" fillId="2" borderId="26" xfId="0" applyNumberFormat="1" applyFont="1" applyFill="1" applyBorder="1" applyAlignment="1">
      <alignment horizontal="right" vertical="center" wrapText="1"/>
    </xf>
    <xf numFmtId="183" fontId="6" fillId="2" borderId="27" xfId="0" applyNumberFormat="1" applyFont="1" applyFill="1" applyBorder="1" applyAlignment="1">
      <alignment horizontal="right" vertical="center" wrapText="1"/>
    </xf>
    <xf numFmtId="183" fontId="6" fillId="3" borderId="27" xfId="0" applyNumberFormat="1" applyFont="1" applyFill="1" applyBorder="1" applyAlignment="1">
      <alignment horizontal="right" vertical="center" wrapText="1"/>
    </xf>
    <xf numFmtId="183" fontId="6" fillId="3" borderId="2" xfId="0" applyNumberFormat="1" applyFont="1" applyFill="1" applyBorder="1" applyAlignment="1">
      <alignment horizontal="right" vertical="center" wrapText="1"/>
    </xf>
    <xf numFmtId="183" fontId="32" fillId="3" borderId="16" xfId="0" applyNumberFormat="1" applyFont="1" applyFill="1" applyBorder="1" applyAlignment="1">
      <alignment horizontal="right" vertical="center" wrapText="1"/>
    </xf>
    <xf numFmtId="183" fontId="32" fillId="3" borderId="12" xfId="0" applyNumberFormat="1" applyFont="1" applyFill="1" applyBorder="1" applyAlignment="1">
      <alignment horizontal="right" vertical="center" wrapText="1"/>
    </xf>
    <xf numFmtId="183" fontId="35" fillId="2" borderId="0" xfId="0" applyNumberFormat="1" applyFont="1" applyFill="1" applyBorder="1" applyAlignment="1">
      <alignment vertical="center"/>
    </xf>
    <xf numFmtId="183" fontId="35" fillId="3" borderId="0" xfId="0" applyNumberFormat="1" applyFont="1" applyFill="1" applyBorder="1" applyAlignment="1">
      <alignment vertical="center"/>
    </xf>
    <xf numFmtId="183" fontId="6" fillId="2" borderId="5" xfId="0" applyNumberFormat="1" applyFont="1" applyFill="1" applyBorder="1" applyAlignment="1">
      <alignment horizontal="right" vertical="center" wrapText="1"/>
    </xf>
    <xf numFmtId="183" fontId="32" fillId="3" borderId="19" xfId="0" applyNumberFormat="1" applyFont="1" applyFill="1" applyBorder="1" applyAlignment="1">
      <alignment horizontal="right" vertical="center" wrapText="1"/>
    </xf>
    <xf numFmtId="183" fontId="6" fillId="2" borderId="11" xfId="0" applyNumberFormat="1" applyFont="1" applyFill="1" applyBorder="1" applyAlignment="1">
      <alignment horizontal="right" vertical="center" wrapText="1"/>
    </xf>
    <xf numFmtId="183" fontId="6" fillId="3" borderId="11" xfId="0" applyNumberFormat="1" applyFont="1" applyFill="1" applyBorder="1" applyAlignment="1">
      <alignment horizontal="right" vertical="center" wrapText="1"/>
    </xf>
    <xf numFmtId="183" fontId="32" fillId="3" borderId="28" xfId="0" applyNumberFormat="1" applyFont="1" applyFill="1" applyBorder="1" applyAlignment="1">
      <alignment horizontal="right" vertical="center" wrapText="1"/>
    </xf>
    <xf numFmtId="183" fontId="6" fillId="2" borderId="18" xfId="0" applyNumberFormat="1" applyFont="1" applyFill="1" applyBorder="1" applyAlignment="1">
      <alignment horizontal="right" vertical="center" wrapText="1"/>
    </xf>
    <xf numFmtId="183" fontId="6" fillId="3" borderId="18" xfId="0" applyNumberFormat="1" applyFont="1" applyFill="1" applyBorder="1" applyAlignment="1">
      <alignment horizontal="right" vertical="center" wrapText="1"/>
    </xf>
    <xf numFmtId="182" fontId="12" fillId="3" borderId="0" xfId="0" applyNumberFormat="1" applyFont="1" applyFill="1" applyBorder="1" applyAlignment="1">
      <alignment vertical="center"/>
    </xf>
    <xf numFmtId="182" fontId="40" fillId="3" borderId="0" xfId="1" applyNumberFormat="1" applyFont="1" applyFill="1" applyBorder="1" applyAlignment="1">
      <alignment horizontal="right" vertical="center"/>
    </xf>
    <xf numFmtId="182" fontId="42" fillId="3" borderId="0" xfId="0" applyNumberFormat="1" applyFont="1" applyFill="1" applyBorder="1" applyAlignment="1">
      <alignment vertical="center"/>
    </xf>
    <xf numFmtId="182" fontId="12" fillId="3" borderId="18" xfId="0" applyNumberFormat="1" applyFont="1" applyFill="1" applyBorder="1" applyAlignment="1">
      <alignment vertical="center"/>
    </xf>
    <xf numFmtId="182" fontId="25" fillId="12" borderId="7" xfId="0" applyNumberFormat="1" applyFont="1" applyFill="1" applyBorder="1" applyAlignment="1">
      <alignment vertical="center"/>
    </xf>
    <xf numFmtId="182" fontId="12" fillId="3" borderId="11" xfId="0" applyNumberFormat="1" applyFont="1" applyFill="1" applyBorder="1" applyAlignment="1">
      <alignment vertical="center"/>
    </xf>
    <xf numFmtId="182" fontId="25" fillId="4" borderId="27" xfId="0" applyNumberFormat="1" applyFont="1" applyFill="1" applyBorder="1" applyAlignment="1">
      <alignment vertical="center"/>
    </xf>
    <xf numFmtId="182" fontId="12" fillId="3" borderId="7" xfId="0" applyNumberFormat="1" applyFont="1" applyFill="1" applyBorder="1"/>
    <xf numFmtId="182" fontId="40" fillId="3" borderId="0" xfId="0" applyNumberFormat="1" applyFont="1" applyFill="1" applyBorder="1" applyAlignment="1">
      <alignment horizontal="right" vertical="center"/>
    </xf>
    <xf numFmtId="182" fontId="12" fillId="3" borderId="0" xfId="0" applyNumberFormat="1" applyFont="1" applyFill="1" applyBorder="1" applyAlignment="1">
      <alignment horizontal="right" vertical="center"/>
    </xf>
    <xf numFmtId="182" fontId="43" fillId="3" borderId="0" xfId="0" applyNumberFormat="1" applyFont="1" applyFill="1" applyBorder="1" applyAlignment="1">
      <alignment horizontal="right" vertical="center"/>
    </xf>
    <xf numFmtId="182" fontId="27" fillId="3" borderId="0" xfId="0" applyNumberFormat="1" applyFont="1" applyFill="1" applyBorder="1" applyAlignment="1">
      <alignment horizontal="right" vertical="center"/>
    </xf>
    <xf numFmtId="0" fontId="5" fillId="3" borderId="22" xfId="0" applyFont="1" applyFill="1" applyBorder="1"/>
    <xf numFmtId="0" fontId="5" fillId="3" borderId="23" xfId="0" applyFont="1" applyFill="1" applyBorder="1"/>
    <xf numFmtId="168" fontId="6" fillId="2" borderId="3" xfId="0" applyNumberFormat="1" applyFont="1" applyFill="1" applyBorder="1" applyAlignment="1">
      <alignment horizontal="right" wrapText="1" indent="1"/>
    </xf>
    <xf numFmtId="0" fontId="62" fillId="3" borderId="0" xfId="0" applyFont="1" applyFill="1"/>
    <xf numFmtId="0" fontId="28" fillId="4" borderId="2" xfId="0" applyFont="1" applyFill="1" applyBorder="1" applyAlignment="1">
      <alignment horizontal="right" vertical="center"/>
    </xf>
    <xf numFmtId="170" fontId="28" fillId="6" borderId="7" xfId="0" applyNumberFormat="1" applyFont="1" applyFill="1" applyBorder="1" applyAlignment="1">
      <alignment vertical="center"/>
    </xf>
    <xf numFmtId="170" fontId="62" fillId="3" borderId="0" xfId="0" applyNumberFormat="1" applyFont="1" applyFill="1" applyBorder="1" applyAlignment="1">
      <alignment horizontal="right" vertical="center"/>
    </xf>
    <xf numFmtId="176" fontId="28" fillId="6" borderId="7" xfId="0" applyNumberFormat="1" applyFont="1" applyFill="1" applyBorder="1" applyAlignment="1">
      <alignment vertical="center"/>
    </xf>
    <xf numFmtId="176" fontId="62" fillId="3" borderId="0" xfId="0" applyNumberFormat="1" applyFont="1" applyFill="1" applyBorder="1" applyAlignment="1">
      <alignment horizontal="right" vertical="center"/>
    </xf>
    <xf numFmtId="180" fontId="28" fillId="3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>
      <alignment horizontal="right" vertical="center"/>
    </xf>
    <xf numFmtId="0" fontId="62" fillId="3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172" fontId="12" fillId="14" borderId="10" xfId="0" applyNumberFormat="1" applyFont="1" applyFill="1" applyBorder="1" applyAlignment="1">
      <alignment horizontal="right" vertical="center"/>
    </xf>
    <xf numFmtId="172" fontId="12" fillId="14" borderId="0" xfId="0" applyNumberFormat="1" applyFont="1" applyFill="1" applyBorder="1" applyAlignment="1">
      <alignment horizontal="right" vertical="center"/>
    </xf>
    <xf numFmtId="172" fontId="12" fillId="3" borderId="3" xfId="0" applyNumberFormat="1" applyFont="1" applyFill="1" applyBorder="1" applyAlignment="1">
      <alignment horizontal="right" vertical="center"/>
    </xf>
    <xf numFmtId="172" fontId="25" fillId="12" borderId="6" xfId="0" applyNumberFormat="1" applyFont="1" applyFill="1" applyBorder="1" applyAlignment="1">
      <alignment vertical="center"/>
    </xf>
    <xf numFmtId="172" fontId="25" fillId="13" borderId="27" xfId="0" applyNumberFormat="1" applyFont="1" applyFill="1" applyBorder="1" applyAlignment="1">
      <alignment vertical="center"/>
    </xf>
    <xf numFmtId="172" fontId="25" fillId="4" borderId="26" xfId="0" applyNumberFormat="1" applyFont="1" applyFill="1" applyBorder="1" applyAlignment="1">
      <alignment vertical="center"/>
    </xf>
    <xf numFmtId="166" fontId="12" fillId="3" borderId="0" xfId="0" applyNumberFormat="1" applyFont="1" applyFill="1" applyBorder="1" applyAlignment="1">
      <alignment horizontal="right" vertical="center"/>
    </xf>
    <xf numFmtId="166" fontId="12" fillId="14" borderId="10" xfId="0" applyNumberFormat="1" applyFont="1" applyFill="1" applyBorder="1" applyAlignment="1">
      <alignment horizontal="right" vertical="center"/>
    </xf>
    <xf numFmtId="166" fontId="12" fillId="14" borderId="0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166" fontId="12" fillId="3" borderId="11" xfId="0" applyNumberFormat="1" applyFont="1" applyFill="1" applyBorder="1" applyAlignment="1">
      <alignment horizontal="right" vertical="center"/>
    </xf>
    <xf numFmtId="166" fontId="12" fillId="14" borderId="12" xfId="0" applyNumberFormat="1" applyFont="1" applyFill="1" applyBorder="1" applyAlignment="1">
      <alignment horizontal="right" vertical="center"/>
    </xf>
    <xf numFmtId="166" fontId="12" fillId="14" borderId="11" xfId="0" applyNumberFormat="1" applyFont="1" applyFill="1" applyBorder="1" applyAlignment="1">
      <alignment horizontal="right" vertical="center"/>
    </xf>
    <xf numFmtId="166" fontId="12" fillId="3" borderId="4" xfId="0" applyNumberFormat="1" applyFont="1" applyFill="1" applyBorder="1" applyAlignment="1">
      <alignment horizontal="right" vertical="center"/>
    </xf>
    <xf numFmtId="186" fontId="12" fillId="3" borderId="0" xfId="0" applyNumberFormat="1" applyFont="1" applyFill="1" applyBorder="1" applyAlignment="1">
      <alignment horizontal="right" vertical="center"/>
    </xf>
    <xf numFmtId="166" fontId="12" fillId="3" borderId="0" xfId="0" applyNumberFormat="1" applyFont="1" applyFill="1" applyBorder="1" applyAlignment="1">
      <alignment vertical="center"/>
    </xf>
    <xf numFmtId="166" fontId="12" fillId="14" borderId="10" xfId="0" applyNumberFormat="1" applyFont="1" applyFill="1" applyBorder="1" applyAlignment="1">
      <alignment vertical="center"/>
    </xf>
    <xf numFmtId="167" fontId="25" fillId="3" borderId="0" xfId="0" applyNumberFormat="1" applyFont="1" applyFill="1" applyBorder="1" applyAlignment="1">
      <alignment vertical="center"/>
    </xf>
    <xf numFmtId="167" fontId="25" fillId="14" borderId="0" xfId="0" applyNumberFormat="1" applyFont="1" applyFill="1" applyBorder="1" applyAlignment="1">
      <alignment vertical="center"/>
    </xf>
    <xf numFmtId="167" fontId="25" fillId="3" borderId="3" xfId="0" applyNumberFormat="1" applyFont="1" applyFill="1" applyBorder="1" applyAlignment="1">
      <alignment vertical="center"/>
    </xf>
    <xf numFmtId="183" fontId="25" fillId="3" borderId="8" xfId="0" applyNumberFormat="1" applyFont="1" applyFill="1" applyBorder="1" applyAlignment="1">
      <alignment vertical="center"/>
    </xf>
    <xf numFmtId="183" fontId="25" fillId="3" borderId="7" xfId="0" applyNumberFormat="1" applyFont="1" applyFill="1" applyBorder="1" applyAlignment="1">
      <alignment horizontal="right" vertical="center"/>
    </xf>
    <xf numFmtId="183" fontId="12" fillId="3" borderId="10" xfId="0" applyNumberFormat="1" applyFont="1" applyFill="1" applyBorder="1" applyAlignment="1">
      <alignment vertical="center"/>
    </xf>
    <xf numFmtId="183" fontId="25" fillId="3" borderId="16" xfId="0" applyNumberFormat="1" applyFont="1" applyFill="1" applyBorder="1" applyAlignment="1">
      <alignment vertical="center"/>
    </xf>
    <xf numFmtId="168" fontId="22" fillId="2" borderId="0" xfId="6" applyNumberFormat="1" applyFont="1" applyFill="1" applyBorder="1" applyAlignment="1">
      <alignment horizontal="right" vertical="center" wrapText="1"/>
    </xf>
    <xf numFmtId="3" fontId="52" fillId="3" borderId="0" xfId="6" applyNumberFormat="1" applyFont="1" applyFill="1" applyBorder="1" applyAlignment="1">
      <alignment horizontal="right" vertical="center" wrapText="1"/>
    </xf>
    <xf numFmtId="3" fontId="22" fillId="3" borderId="0" xfId="6" applyNumberFormat="1" applyFont="1" applyFill="1" applyBorder="1" applyAlignment="1">
      <alignment horizontal="right" vertical="center" wrapText="1"/>
    </xf>
    <xf numFmtId="0" fontId="46" fillId="11" borderId="7" xfId="0" applyFont="1" applyFill="1" applyBorder="1" applyAlignment="1">
      <alignment horizontal="center" vertical="center"/>
    </xf>
    <xf numFmtId="183" fontId="4" fillId="2" borderId="3" xfId="0" applyNumberFormat="1" applyFont="1" applyFill="1" applyBorder="1" applyAlignment="1">
      <alignment horizontal="right" vertical="center"/>
    </xf>
    <xf numFmtId="183" fontId="12" fillId="3" borderId="0" xfId="0" applyNumberFormat="1" applyFont="1" applyFill="1" applyBorder="1" applyAlignment="1">
      <alignment horizontal="right" vertical="center"/>
    </xf>
    <xf numFmtId="187" fontId="12" fillId="14" borderId="10" xfId="0" applyNumberFormat="1" applyFont="1" applyFill="1" applyBorder="1" applyAlignment="1">
      <alignment horizontal="right" vertical="center"/>
    </xf>
    <xf numFmtId="183" fontId="27" fillId="3" borderId="3" xfId="0" applyNumberFormat="1" applyFont="1" applyFill="1" applyBorder="1" applyAlignment="1">
      <alignment horizontal="right" vertical="center"/>
    </xf>
    <xf numFmtId="183" fontId="27" fillId="3" borderId="0" xfId="0" applyNumberFormat="1" applyFont="1" applyFill="1" applyBorder="1" applyAlignment="1">
      <alignment horizontal="right" vertical="center"/>
    </xf>
    <xf numFmtId="183" fontId="62" fillId="3" borderId="0" xfId="0" applyNumberFormat="1" applyFont="1" applyFill="1" applyBorder="1" applyAlignment="1">
      <alignment horizontal="right" vertical="center"/>
    </xf>
    <xf numFmtId="10" fontId="3" fillId="3" borderId="0" xfId="0" applyNumberFormat="1" applyFont="1" applyFill="1" applyAlignment="1">
      <alignment horizontal="right" vertical="center" wrapText="1" indent="1"/>
    </xf>
    <xf numFmtId="168" fontId="3" fillId="2" borderId="3" xfId="0" applyNumberFormat="1" applyFont="1" applyFill="1" applyBorder="1" applyAlignment="1">
      <alignment horizontal="right" wrapText="1" indent="1"/>
    </xf>
    <xf numFmtId="168" fontId="3" fillId="2" borderId="5" xfId="0" applyNumberFormat="1" applyFont="1" applyFill="1" applyBorder="1" applyAlignment="1">
      <alignment horizontal="right" wrapText="1" indent="1"/>
    </xf>
    <xf numFmtId="168" fontId="3" fillId="3" borderId="0" xfId="0" applyNumberFormat="1" applyFont="1" applyFill="1" applyBorder="1" applyAlignment="1">
      <alignment horizontal="right" wrapText="1" indent="1"/>
    </xf>
    <xf numFmtId="168" fontId="3" fillId="3" borderId="18" xfId="0" applyNumberFormat="1" applyFont="1" applyFill="1" applyBorder="1" applyAlignment="1">
      <alignment horizontal="right" wrapText="1" indent="1"/>
    </xf>
    <xf numFmtId="188" fontId="32" fillId="21" borderId="10" xfId="0" applyNumberFormat="1" applyFont="1" applyFill="1" applyBorder="1" applyAlignment="1">
      <alignment horizontal="right" vertical="center" wrapText="1" indent="1"/>
    </xf>
    <xf numFmtId="188" fontId="32" fillId="21" borderId="19" xfId="0" applyNumberFormat="1" applyFont="1" applyFill="1" applyBorder="1" applyAlignment="1">
      <alignment horizontal="right" vertical="center" wrapText="1" indent="1"/>
    </xf>
    <xf numFmtId="183" fontId="0" fillId="2" borderId="3" xfId="0" applyNumberFormat="1" applyFill="1" applyBorder="1" applyAlignment="1">
      <alignment vertical="center"/>
    </xf>
    <xf numFmtId="183" fontId="6" fillId="2" borderId="5" xfId="0" applyNumberFormat="1" applyFont="1" applyFill="1" applyBorder="1" applyAlignment="1">
      <alignment horizontal="right" vertical="center"/>
    </xf>
    <xf numFmtId="0" fontId="5" fillId="21" borderId="23" xfId="0" applyFont="1" applyFill="1" applyBorder="1" applyAlignment="1">
      <alignment horizontal="left" vertical="center" wrapText="1" indent="3"/>
    </xf>
    <xf numFmtId="3" fontId="47" fillId="18" borderId="8" xfId="0" applyNumberFormat="1" applyFont="1" applyFill="1" applyBorder="1" applyAlignment="1">
      <alignment horizontal="right" vertical="center" wrapText="1"/>
    </xf>
    <xf numFmtId="0" fontId="63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right" vertical="center"/>
    </xf>
    <xf numFmtId="0" fontId="64" fillId="3" borderId="0" xfId="0" applyFont="1" applyFill="1"/>
    <xf numFmtId="0" fontId="2" fillId="3" borderId="0" xfId="0" applyFont="1" applyFill="1"/>
    <xf numFmtId="0" fontId="65" fillId="3" borderId="4" xfId="0" applyFont="1" applyFill="1" applyBorder="1" applyAlignment="1">
      <alignment vertical="center" wrapText="1"/>
    </xf>
    <xf numFmtId="0" fontId="65" fillId="3" borderId="5" xfId="0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right" vertical="center"/>
    </xf>
    <xf numFmtId="0" fontId="25" fillId="8" borderId="2" xfId="0" applyFont="1" applyFill="1" applyBorder="1" applyAlignment="1">
      <alignment horizontal="right" vertical="center"/>
    </xf>
    <xf numFmtId="0" fontId="25" fillId="4" borderId="15" xfId="0" applyFont="1" applyFill="1" applyBorder="1" applyAlignment="1">
      <alignment horizontal="right" vertical="center"/>
    </xf>
    <xf numFmtId="0" fontId="25" fillId="8" borderId="16" xfId="0" applyFont="1" applyFill="1" applyBorder="1" applyAlignment="1">
      <alignment horizontal="right" vertical="center"/>
    </xf>
    <xf numFmtId="0" fontId="67" fillId="6" borderId="6" xfId="0" applyFont="1" applyFill="1" applyBorder="1" applyAlignment="1">
      <alignment vertical="center" wrapText="1"/>
    </xf>
    <xf numFmtId="170" fontId="25" fillId="6" borderId="7" xfId="0" applyNumberFormat="1" applyFont="1" applyFill="1" applyBorder="1" applyAlignment="1">
      <alignment vertical="center"/>
    </xf>
    <xf numFmtId="170" fontId="25" fillId="9" borderId="7" xfId="0" applyNumberFormat="1" applyFont="1" applyFill="1" applyBorder="1" applyAlignment="1">
      <alignment horizontal="right" vertical="center"/>
    </xf>
    <xf numFmtId="170" fontId="25" fillId="6" borderId="6" xfId="0" applyNumberFormat="1" applyFont="1" applyFill="1" applyBorder="1" applyAlignment="1">
      <alignment vertical="center"/>
    </xf>
    <xf numFmtId="170" fontId="25" fillId="9" borderId="8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/>
    </xf>
    <xf numFmtId="170" fontId="12" fillId="0" borderId="0" xfId="0" applyNumberFormat="1" applyFont="1" applyFill="1" applyBorder="1" applyAlignment="1">
      <alignment horizontal="right" vertical="center"/>
    </xf>
    <xf numFmtId="170" fontId="12" fillId="9" borderId="0" xfId="0" applyNumberFormat="1" applyFont="1" applyFill="1" applyBorder="1" applyAlignment="1">
      <alignment horizontal="right" vertical="center"/>
    </xf>
    <xf numFmtId="170" fontId="12" fillId="0" borderId="3" xfId="0" applyNumberFormat="1" applyFont="1" applyFill="1" applyBorder="1" applyAlignment="1">
      <alignment horizontal="right" vertical="center"/>
    </xf>
    <xf numFmtId="170" fontId="12" fillId="9" borderId="10" xfId="0" applyNumberFormat="1" applyFont="1" applyFill="1" applyBorder="1" applyAlignment="1">
      <alignment horizontal="right" vertical="center"/>
    </xf>
    <xf numFmtId="181" fontId="68" fillId="0" borderId="0" xfId="0" applyNumberFormat="1" applyFont="1" applyFill="1" applyAlignment="1">
      <alignment horizontal="right" vertical="center"/>
    </xf>
    <xf numFmtId="170" fontId="12" fillId="3" borderId="0" xfId="0" applyNumberFormat="1" applyFont="1" applyFill="1" applyBorder="1" applyAlignment="1">
      <alignment horizontal="right" vertical="center"/>
    </xf>
    <xf numFmtId="175" fontId="68" fillId="0" borderId="0" xfId="0" applyNumberFormat="1" applyFont="1" applyFill="1" applyAlignment="1">
      <alignment horizontal="right" vertical="center"/>
    </xf>
    <xf numFmtId="176" fontId="25" fillId="6" borderId="7" xfId="0" applyNumberFormat="1" applyFont="1" applyFill="1" applyBorder="1" applyAlignment="1">
      <alignment vertical="center"/>
    </xf>
    <xf numFmtId="176" fontId="25" fillId="7" borderId="7" xfId="0" applyNumberFormat="1" applyFont="1" applyFill="1" applyBorder="1" applyAlignment="1">
      <alignment vertical="center"/>
    </xf>
    <xf numFmtId="176" fontId="25" fillId="6" borderId="6" xfId="0" applyNumberFormat="1" applyFont="1" applyFill="1" applyBorder="1" applyAlignment="1">
      <alignment vertical="center"/>
    </xf>
    <xf numFmtId="176" fontId="25" fillId="7" borderId="8" xfId="0" applyNumberFormat="1" applyFont="1" applyFill="1" applyBorder="1" applyAlignment="1">
      <alignment vertical="center"/>
    </xf>
    <xf numFmtId="0" fontId="25" fillId="0" borderId="0" xfId="0" applyFont="1"/>
    <xf numFmtId="176" fontId="12" fillId="0" borderId="0" xfId="0" applyNumberFormat="1" applyFont="1" applyFill="1" applyBorder="1" applyAlignment="1">
      <alignment horizontal="right" vertical="center"/>
    </xf>
    <xf numFmtId="176" fontId="12" fillId="9" borderId="0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2" fillId="9" borderId="10" xfId="0" applyNumberFormat="1" applyFont="1" applyFill="1" applyBorder="1" applyAlignment="1">
      <alignment horizontal="right" vertical="center"/>
    </xf>
    <xf numFmtId="176" fontId="12" fillId="3" borderId="0" xfId="0" applyNumberFormat="1" applyFont="1" applyFill="1" applyBorder="1" applyAlignment="1">
      <alignment horizontal="right" vertical="center"/>
    </xf>
    <xf numFmtId="0" fontId="25" fillId="0" borderId="0" xfId="0" applyFont="1" applyFill="1"/>
    <xf numFmtId="170" fontId="25" fillId="7" borderId="7" xfId="0" applyNumberFormat="1" applyFont="1" applyFill="1" applyBorder="1" applyAlignment="1">
      <alignment horizontal="right" vertical="center"/>
    </xf>
    <xf numFmtId="170" fontId="25" fillId="7" borderId="8" xfId="0" applyNumberFormat="1" applyFont="1" applyFill="1" applyBorder="1" applyAlignment="1">
      <alignment horizontal="right" vertical="center"/>
    </xf>
    <xf numFmtId="183" fontId="12" fillId="9" borderId="10" xfId="0" applyNumberFormat="1" applyFont="1" applyFill="1" applyBorder="1" applyAlignment="1">
      <alignment horizontal="right" vertical="center"/>
    </xf>
    <xf numFmtId="175" fontId="40" fillId="0" borderId="0" xfId="0" applyNumberFormat="1" applyFont="1" applyFill="1" applyAlignment="1">
      <alignment horizontal="right" vertical="center"/>
    </xf>
    <xf numFmtId="0" fontId="67" fillId="0" borderId="3" xfId="0" applyFont="1" applyBorder="1" applyAlignment="1">
      <alignment vertical="center"/>
    </xf>
    <xf numFmtId="180" fontId="25" fillId="0" borderId="0" xfId="0" applyNumberFormat="1" applyFont="1" applyFill="1" applyBorder="1" applyAlignment="1">
      <alignment horizontal="right" vertical="center"/>
    </xf>
    <xf numFmtId="180" fontId="25" fillId="9" borderId="0" xfId="0" applyNumberFormat="1" applyFont="1" applyFill="1" applyBorder="1" applyAlignment="1">
      <alignment horizontal="right" vertical="center"/>
    </xf>
    <xf numFmtId="180" fontId="12" fillId="0" borderId="3" xfId="0" applyNumberFormat="1" applyFont="1" applyFill="1" applyBorder="1" applyAlignment="1">
      <alignment horizontal="right" vertical="center"/>
    </xf>
    <xf numFmtId="180" fontId="25" fillId="0" borderId="3" xfId="0" applyNumberFormat="1" applyFont="1" applyFill="1" applyBorder="1" applyAlignment="1">
      <alignment horizontal="right" vertical="center"/>
    </xf>
    <xf numFmtId="180" fontId="25" fillId="9" borderId="10" xfId="0" applyNumberFormat="1" applyFont="1" applyFill="1" applyBorder="1" applyAlignment="1">
      <alignment horizontal="right" vertical="center"/>
    </xf>
    <xf numFmtId="180" fontId="43" fillId="0" borderId="0" xfId="0" applyNumberFormat="1" applyFont="1" applyFill="1" applyAlignment="1">
      <alignment horizontal="right" vertical="center"/>
    </xf>
    <xf numFmtId="180" fontId="25" fillId="3" borderId="0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/>
    </xf>
    <xf numFmtId="176" fontId="12" fillId="9" borderId="19" xfId="0" applyNumberFormat="1" applyFont="1" applyFill="1" applyBorder="1" applyAlignment="1">
      <alignment horizontal="right" vertical="center"/>
    </xf>
    <xf numFmtId="0" fontId="67" fillId="6" borderId="4" xfId="0" applyFont="1" applyFill="1" applyBorder="1" applyAlignment="1">
      <alignment vertical="center" wrapText="1"/>
    </xf>
    <xf numFmtId="0" fontId="67" fillId="6" borderId="11" xfId="0" applyFont="1" applyFill="1" applyBorder="1" applyAlignment="1">
      <alignment vertical="center" wrapText="1"/>
    </xf>
    <xf numFmtId="169" fontId="67" fillId="10" borderId="11" xfId="0" applyNumberFormat="1" applyFont="1" applyFill="1" applyBorder="1" applyAlignment="1">
      <alignment vertical="center" wrapText="1"/>
    </xf>
    <xf numFmtId="169" fontId="67" fillId="10" borderId="12" xfId="0" applyNumberFormat="1" applyFont="1" applyFill="1" applyBorder="1" applyAlignment="1">
      <alignment vertical="center" wrapText="1"/>
    </xf>
    <xf numFmtId="166" fontId="67" fillId="6" borderId="11" xfId="0" applyNumberFormat="1" applyFont="1" applyFill="1" applyBorder="1" applyAlignment="1">
      <alignment vertical="center" wrapText="1"/>
    </xf>
    <xf numFmtId="0" fontId="67" fillId="6" borderId="5" xfId="0" applyFont="1" applyFill="1" applyBorder="1" applyAlignment="1">
      <alignment vertical="center" wrapText="1"/>
    </xf>
    <xf numFmtId="168" fontId="67" fillId="6" borderId="5" xfId="2" applyNumberFormat="1" applyFont="1" applyFill="1" applyBorder="1" applyAlignment="1">
      <alignment vertical="center" wrapText="1"/>
    </xf>
    <xf numFmtId="168" fontId="67" fillId="6" borderId="18" xfId="2" applyNumberFormat="1" applyFont="1" applyFill="1" applyBorder="1" applyAlignment="1">
      <alignment vertical="center" wrapText="1"/>
    </xf>
    <xf numFmtId="168" fontId="67" fillId="10" borderId="19" xfId="2" applyNumberFormat="1" applyFont="1" applyFill="1" applyBorder="1" applyAlignment="1">
      <alignment vertical="center" wrapText="1"/>
    </xf>
    <xf numFmtId="168" fontId="67" fillId="10" borderId="18" xfId="2" applyNumberFormat="1" applyFont="1" applyFill="1" applyBorder="1" applyAlignment="1">
      <alignment vertical="center" wrapText="1"/>
    </xf>
    <xf numFmtId="168" fontId="26" fillId="6" borderId="18" xfId="2" applyNumberFormat="1" applyFont="1" applyFill="1" applyBorder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83" fontId="27" fillId="2" borderId="10" xfId="0" applyNumberFormat="1" applyFont="1" applyFill="1" applyBorder="1" applyAlignment="1">
      <alignment horizontal="right" vertical="center"/>
    </xf>
    <xf numFmtId="10" fontId="2" fillId="2" borderId="0" xfId="0" applyNumberFormat="1" applyFont="1" applyFill="1" applyAlignment="1">
      <alignment horizontal="right" vertical="center" wrapText="1" indent="1"/>
    </xf>
    <xf numFmtId="10" fontId="2" fillId="3" borderId="0" xfId="0" applyNumberFormat="1" applyFont="1" applyFill="1" applyAlignment="1">
      <alignment horizontal="right" vertical="center" wrapText="1" indent="1"/>
    </xf>
    <xf numFmtId="176" fontId="25" fillId="7" borderId="7" xfId="0" applyNumberFormat="1" applyFont="1" applyFill="1" applyBorder="1" applyAlignment="1">
      <alignment horizontal="right" vertical="center"/>
    </xf>
    <xf numFmtId="176" fontId="25" fillId="7" borderId="8" xfId="0" applyNumberFormat="1" applyFont="1" applyFill="1" applyBorder="1" applyAlignment="1">
      <alignment horizontal="right" vertical="center"/>
    </xf>
    <xf numFmtId="176" fontId="25" fillId="12" borderId="7" xfId="0" applyNumberFormat="1" applyFont="1" applyFill="1" applyBorder="1" applyAlignment="1">
      <alignment vertical="center"/>
    </xf>
    <xf numFmtId="183" fontId="28" fillId="12" borderId="7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183" fontId="42" fillId="14" borderId="10" xfId="0" applyNumberFormat="1" applyFont="1" applyFill="1" applyBorder="1" applyAlignment="1">
      <alignment vertical="center"/>
    </xf>
    <xf numFmtId="0" fontId="1" fillId="21" borderId="23" xfId="0" applyFont="1" applyFill="1" applyBorder="1" applyAlignment="1">
      <alignment horizontal="left" vertical="center" wrapText="1" indent="3"/>
    </xf>
    <xf numFmtId="189" fontId="33" fillId="21" borderId="38" xfId="0" applyNumberFormat="1" applyFont="1" applyFill="1" applyBorder="1" applyAlignment="1">
      <alignment horizontal="right" vertical="center" wrapText="1" indent="1"/>
    </xf>
    <xf numFmtId="0" fontId="1" fillId="3" borderId="23" xfId="0" applyFont="1" applyFill="1" applyBorder="1"/>
    <xf numFmtId="0" fontId="1" fillId="3" borderId="24" xfId="0" applyFont="1" applyFill="1" applyBorder="1"/>
    <xf numFmtId="168" fontId="16" fillId="2" borderId="6" xfId="0" applyNumberFormat="1" applyFont="1" applyFill="1" applyBorder="1" applyAlignment="1">
      <alignment horizontal="right" vertical="center" wrapText="1" indent="1"/>
    </xf>
    <xf numFmtId="168" fontId="16" fillId="3" borderId="7" xfId="0" applyNumberFormat="1" applyFont="1" applyFill="1" applyBorder="1" applyAlignment="1">
      <alignment horizontal="right" vertical="center" wrapText="1" indent="1"/>
    </xf>
    <xf numFmtId="168" fontId="33" fillId="21" borderId="8" xfId="0" applyNumberFormat="1" applyFont="1" applyFill="1" applyBorder="1" applyAlignment="1">
      <alignment horizontal="right" vertical="center" wrapText="1" indent="1"/>
    </xf>
    <xf numFmtId="0" fontId="12" fillId="0" borderId="0" xfId="0" applyFont="1" applyFill="1" applyAlignment="1">
      <alignment horizontal="left" vertical="center" wrapText="1"/>
    </xf>
    <xf numFmtId="0" fontId="66" fillId="4" borderId="11" xfId="0" applyFont="1" applyFill="1" applyBorder="1" applyAlignment="1">
      <alignment horizontal="center" vertical="center" wrapText="1"/>
    </xf>
    <xf numFmtId="0" fontId="66" fillId="4" borderId="12" xfId="0" applyFont="1" applyFill="1" applyBorder="1" applyAlignment="1">
      <alignment horizontal="center" vertical="center" wrapText="1"/>
    </xf>
    <xf numFmtId="0" fontId="66" fillId="4" borderId="4" xfId="0" applyFont="1" applyFill="1" applyBorder="1" applyAlignment="1">
      <alignment horizontal="center" vertical="center" wrapText="1"/>
    </xf>
    <xf numFmtId="0" fontId="66" fillId="4" borderId="17" xfId="0" applyFont="1" applyFill="1" applyBorder="1" applyAlignment="1">
      <alignment horizontal="center" vertical="center" wrapText="1"/>
    </xf>
    <xf numFmtId="0" fontId="66" fillId="4" borderId="20" xfId="0" applyFont="1" applyFill="1" applyBorder="1" applyAlignment="1">
      <alignment horizontal="center" vertical="center" wrapText="1"/>
    </xf>
    <xf numFmtId="0" fontId="66" fillId="4" borderId="2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left"/>
    </xf>
    <xf numFmtId="0" fontId="18" fillId="3" borderId="22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16" borderId="1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left" vertical="top" wrapText="1"/>
    </xf>
    <xf numFmtId="0" fontId="58" fillId="3" borderId="22" xfId="0" applyFont="1" applyFill="1" applyBorder="1" applyAlignment="1">
      <alignment horizontal="left" vertical="center" wrapText="1"/>
    </xf>
    <xf numFmtId="0" fontId="58" fillId="3" borderId="24" xfId="0" applyFont="1" applyFill="1" applyBorder="1" applyAlignment="1">
      <alignment horizontal="left" vertical="center" wrapText="1"/>
    </xf>
    <xf numFmtId="0" fontId="38" fillId="3" borderId="0" xfId="0" applyFont="1" applyFill="1" applyAlignment="1">
      <alignment horizontal="left" wrapText="1"/>
    </xf>
    <xf numFmtId="0" fontId="37" fillId="3" borderId="0" xfId="0" applyFont="1" applyFill="1" applyAlignment="1">
      <alignment horizontal="left" vertical="top"/>
    </xf>
  </cellXfs>
  <cellStyles count="7">
    <cellStyle name="Dziesiętny" xfId="1" builtinId="3"/>
    <cellStyle name="Normalny" xfId="0" builtinId="0"/>
    <cellStyle name="Normalny 2" xfId="3"/>
    <cellStyle name="Normalny 2 2 3" xfId="4"/>
    <cellStyle name="Normalny 66" xfId="5"/>
    <cellStyle name="Procentowy 2" xfId="2"/>
    <cellStyle name="Procentowy 3" xfId="6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49"/>
  <sheetViews>
    <sheetView showGridLines="0" tabSelected="1" zoomScaleNormal="100" zoomScaleSheetLayoutView="85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28.5" customHeight="1"/>
  <cols>
    <col min="1" max="1" width="41.625" style="7" customWidth="1"/>
    <col min="2" max="7" width="9" style="6"/>
    <col min="8" max="8" width="9" style="502"/>
    <col min="9" max="9" width="9" style="503"/>
    <col min="10" max="11" width="10.125" style="6" bestFit="1" customWidth="1"/>
    <col min="12" max="12" width="10.125" style="6" customWidth="1"/>
    <col min="13" max="15" width="9.25" style="6" customWidth="1"/>
    <col min="16" max="16" width="10.125" style="6" bestFit="1" customWidth="1"/>
    <col min="17" max="20" width="10.125" style="6" customWidth="1"/>
    <col min="21" max="21" width="10.125" style="6" bestFit="1" customWidth="1"/>
    <col min="22" max="23" width="10.125" style="6" customWidth="1"/>
    <col min="24" max="24" width="10.125" style="392" customWidth="1"/>
    <col min="25" max="25" width="10.125" style="6" customWidth="1"/>
    <col min="26" max="26" width="10.125" style="6" bestFit="1" customWidth="1"/>
    <col min="27" max="28" width="10.125" style="6" customWidth="1"/>
    <col min="29" max="29" width="10.125" style="392" customWidth="1"/>
    <col min="30" max="30" width="10.125" style="6" customWidth="1"/>
    <col min="31" max="31" width="10.125" style="6" bestFit="1" customWidth="1"/>
    <col min="32" max="16384" width="9" style="7"/>
  </cols>
  <sheetData>
    <row r="1" spans="1:31" s="12" customFormat="1" ht="28.5" customHeight="1" thickBot="1">
      <c r="A1" s="438" t="s">
        <v>103</v>
      </c>
      <c r="B1" s="10"/>
      <c r="C1" s="10"/>
      <c r="D1" s="10"/>
      <c r="E1" s="10"/>
      <c r="F1" s="10"/>
      <c r="G1" s="10"/>
      <c r="H1" s="439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440"/>
      <c r="U1" s="440"/>
      <c r="V1" s="440"/>
      <c r="W1" s="440"/>
      <c r="X1" s="441"/>
      <c r="Y1" s="440"/>
      <c r="Z1" s="440"/>
      <c r="AA1" s="440"/>
      <c r="AB1" s="440"/>
      <c r="AC1" s="441"/>
      <c r="AD1" s="440"/>
      <c r="AE1" s="440"/>
    </row>
    <row r="2" spans="1:31" ht="28.5" customHeight="1">
      <c r="A2" s="442" t="s">
        <v>104</v>
      </c>
      <c r="B2" s="521">
        <v>2012</v>
      </c>
      <c r="C2" s="521"/>
      <c r="D2" s="521"/>
      <c r="E2" s="521"/>
      <c r="F2" s="522"/>
      <c r="G2" s="521">
        <v>2013</v>
      </c>
      <c r="H2" s="521"/>
      <c r="I2" s="521"/>
      <c r="J2" s="521"/>
      <c r="K2" s="522"/>
      <c r="L2" s="523">
        <v>2014</v>
      </c>
      <c r="M2" s="521"/>
      <c r="N2" s="521"/>
      <c r="O2" s="521"/>
      <c r="P2" s="522"/>
      <c r="Q2" s="524">
        <v>2015</v>
      </c>
      <c r="R2" s="525"/>
      <c r="S2" s="525"/>
      <c r="T2" s="525"/>
      <c r="U2" s="526"/>
      <c r="V2" s="524">
        <v>2016</v>
      </c>
      <c r="W2" s="525"/>
      <c r="X2" s="525"/>
      <c r="Y2" s="525"/>
      <c r="Z2" s="526"/>
      <c r="AA2" s="524">
        <v>2017</v>
      </c>
      <c r="AB2" s="525"/>
      <c r="AC2" s="525"/>
      <c r="AD2" s="525"/>
      <c r="AE2" s="526"/>
    </row>
    <row r="3" spans="1:31" ht="16.5" customHeight="1" thickBot="1">
      <c r="A3" s="443" t="s">
        <v>105</v>
      </c>
      <c r="B3" s="444" t="s">
        <v>106</v>
      </c>
      <c r="C3" s="444" t="s">
        <v>107</v>
      </c>
      <c r="D3" s="444" t="s">
        <v>108</v>
      </c>
      <c r="E3" s="444" t="s">
        <v>109</v>
      </c>
      <c r="F3" s="445">
        <v>2012</v>
      </c>
      <c r="G3" s="446" t="s">
        <v>106</v>
      </c>
      <c r="H3" s="444" t="s">
        <v>107</v>
      </c>
      <c r="I3" s="444" t="s">
        <v>108</v>
      </c>
      <c r="J3" s="444" t="s">
        <v>109</v>
      </c>
      <c r="K3" s="445">
        <v>2013</v>
      </c>
      <c r="L3" s="446" t="s">
        <v>106</v>
      </c>
      <c r="M3" s="444" t="s">
        <v>107</v>
      </c>
      <c r="N3" s="444" t="s">
        <v>108</v>
      </c>
      <c r="O3" s="444" t="s">
        <v>109</v>
      </c>
      <c r="P3" s="447">
        <v>2014</v>
      </c>
      <c r="Q3" s="444" t="s">
        <v>106</v>
      </c>
      <c r="R3" s="444" t="s">
        <v>107</v>
      </c>
      <c r="S3" s="444" t="s">
        <v>108</v>
      </c>
      <c r="T3" s="444" t="s">
        <v>109</v>
      </c>
      <c r="U3" s="447">
        <v>2015</v>
      </c>
      <c r="V3" s="444" t="s">
        <v>215</v>
      </c>
      <c r="W3" s="444" t="s">
        <v>107</v>
      </c>
      <c r="X3" s="384" t="s">
        <v>108</v>
      </c>
      <c r="Y3" s="444" t="s">
        <v>109</v>
      </c>
      <c r="Z3" s="447" t="s">
        <v>216</v>
      </c>
      <c r="AA3" s="444" t="s">
        <v>106</v>
      </c>
      <c r="AB3" s="444" t="s">
        <v>107</v>
      </c>
      <c r="AC3" s="384" t="s">
        <v>108</v>
      </c>
      <c r="AD3" s="444" t="s">
        <v>109</v>
      </c>
      <c r="AE3" s="447">
        <v>2017</v>
      </c>
    </row>
    <row r="4" spans="1:31" ht="34.5" customHeight="1" thickBot="1">
      <c r="A4" s="448" t="s">
        <v>73</v>
      </c>
      <c r="B4" s="449">
        <f>SUM(B5:B8)</f>
        <v>669.2</v>
      </c>
      <c r="C4" s="449">
        <f t="shared" ref="C4:O4" si="0">SUM(C5:C8)</f>
        <v>713.8</v>
      </c>
      <c r="D4" s="449">
        <f t="shared" si="0"/>
        <v>644.5</v>
      </c>
      <c r="E4" s="449">
        <f t="shared" si="0"/>
        <v>750.60000000000014</v>
      </c>
      <c r="F4" s="450">
        <f>SUM(F5:F8)</f>
        <v>2778.0999999999995</v>
      </c>
      <c r="G4" s="451">
        <f t="shared" si="0"/>
        <v>697.1</v>
      </c>
      <c r="H4" s="449">
        <f t="shared" si="0"/>
        <v>735.9</v>
      </c>
      <c r="I4" s="449">
        <f t="shared" si="0"/>
        <v>677.3</v>
      </c>
      <c r="J4" s="449">
        <f t="shared" si="0"/>
        <v>800.5</v>
      </c>
      <c r="K4" s="450">
        <f>SUM(K5:K8)</f>
        <v>2910.8</v>
      </c>
      <c r="L4" s="451">
        <f t="shared" si="0"/>
        <v>723.29999999999984</v>
      </c>
      <c r="M4" s="449">
        <f t="shared" si="0"/>
        <v>1745.9</v>
      </c>
      <c r="N4" s="449">
        <f t="shared" si="0"/>
        <v>2419.6</v>
      </c>
      <c r="O4" s="449">
        <f t="shared" si="0"/>
        <v>2521.1000000000004</v>
      </c>
      <c r="P4" s="452">
        <f>SUM(P5:P8)</f>
        <v>7409.9</v>
      </c>
      <c r="Q4" s="449">
        <f t="shared" ref="Q4:T4" si="1">SUM(Q5:Q8)</f>
        <v>2329</v>
      </c>
      <c r="R4" s="449">
        <f t="shared" si="1"/>
        <v>2469.1999999999998</v>
      </c>
      <c r="S4" s="449">
        <f t="shared" si="1"/>
        <v>2414.8999999999996</v>
      </c>
      <c r="T4" s="449">
        <f t="shared" si="1"/>
        <v>2609.9</v>
      </c>
      <c r="U4" s="452">
        <f>SUM(U5:U8)</f>
        <v>9823</v>
      </c>
      <c r="V4" s="449">
        <f t="shared" ref="V4:Y4" si="2">SUM(V5:V8)</f>
        <v>2364</v>
      </c>
      <c r="W4" s="449">
        <f t="shared" si="2"/>
        <v>2442.9</v>
      </c>
      <c r="X4" s="385">
        <f t="shared" si="2"/>
        <v>2387.8000000000002</v>
      </c>
      <c r="Y4" s="385">
        <f t="shared" si="2"/>
        <v>2535.1</v>
      </c>
      <c r="Z4" s="452">
        <f>SUM(Z5:Z8)</f>
        <v>9729.7999999999993</v>
      </c>
      <c r="AA4" s="449">
        <f t="shared" ref="AA4" si="3">SUM(AA5:AA8)</f>
        <v>2388.6</v>
      </c>
      <c r="AB4" s="449"/>
      <c r="AC4" s="385"/>
      <c r="AD4" s="385"/>
      <c r="AE4" s="452"/>
    </row>
    <row r="5" spans="1:31" ht="24.75" customHeight="1">
      <c r="A5" s="453" t="s">
        <v>79</v>
      </c>
      <c r="B5" s="454">
        <v>424</v>
      </c>
      <c r="C5" s="454">
        <v>427.1</v>
      </c>
      <c r="D5" s="454">
        <v>434.4</v>
      </c>
      <c r="E5" s="454">
        <v>446.6</v>
      </c>
      <c r="F5" s="455">
        <f>SUM(B5:E5)</f>
        <v>1732.1</v>
      </c>
      <c r="G5" s="456">
        <v>451.7</v>
      </c>
      <c r="H5" s="454">
        <v>452</v>
      </c>
      <c r="I5" s="454">
        <v>460.3</v>
      </c>
      <c r="J5" s="454">
        <v>466.1</v>
      </c>
      <c r="K5" s="455">
        <f>SUM(G5:J5)</f>
        <v>1830.1</v>
      </c>
      <c r="L5" s="456">
        <v>467.79999999999995</v>
      </c>
      <c r="M5" s="454">
        <v>1204.5</v>
      </c>
      <c r="N5" s="454">
        <v>1710.7</v>
      </c>
      <c r="O5" s="454">
        <v>1701.7</v>
      </c>
      <c r="P5" s="457">
        <f>SUM(L5:O5)</f>
        <v>5084.7</v>
      </c>
      <c r="Q5" s="454">
        <v>1637.2</v>
      </c>
      <c r="R5" s="454">
        <v>1652</v>
      </c>
      <c r="S5" s="454">
        <v>1643.3</v>
      </c>
      <c r="T5" s="458">
        <v>1620.6</v>
      </c>
      <c r="U5" s="457">
        <v>6553.1</v>
      </c>
      <c r="V5" s="459">
        <v>1565.7</v>
      </c>
      <c r="W5" s="459">
        <v>1586.9</v>
      </c>
      <c r="X5" s="386">
        <v>1583.7</v>
      </c>
      <c r="Y5" s="458">
        <v>1589</v>
      </c>
      <c r="Z5" s="457">
        <f>SUM(V5:Y5)</f>
        <v>6325.3</v>
      </c>
      <c r="AA5" s="459">
        <v>1542.7</v>
      </c>
      <c r="AB5" s="459"/>
      <c r="AC5" s="386"/>
      <c r="AD5" s="458"/>
      <c r="AE5" s="457"/>
    </row>
    <row r="6" spans="1:31" ht="20.100000000000001" customHeight="1">
      <c r="A6" s="453" t="s">
        <v>80</v>
      </c>
      <c r="B6" s="454">
        <v>234.6</v>
      </c>
      <c r="C6" s="454">
        <v>272.7</v>
      </c>
      <c r="D6" s="454">
        <v>198</v>
      </c>
      <c r="E6" s="454">
        <v>286.3</v>
      </c>
      <c r="F6" s="455">
        <f t="shared" ref="F6:F8" si="4">SUM(B6:E6)</f>
        <v>991.59999999999991</v>
      </c>
      <c r="G6" s="456">
        <v>223.8</v>
      </c>
      <c r="H6" s="454">
        <v>265.2</v>
      </c>
      <c r="I6" s="454">
        <v>204</v>
      </c>
      <c r="J6" s="454">
        <v>317.2</v>
      </c>
      <c r="K6" s="455">
        <f t="shared" ref="K6:K8" si="5">SUM(G6:J6)</f>
        <v>1010.2</v>
      </c>
      <c r="L6" s="456">
        <v>242.19999999999993</v>
      </c>
      <c r="M6" s="454">
        <v>479.1</v>
      </c>
      <c r="N6" s="454">
        <v>591.6</v>
      </c>
      <c r="O6" s="454">
        <v>641.1</v>
      </c>
      <c r="P6" s="457">
        <f t="shared" ref="P6:P8" si="6">SUM(L6:O6)</f>
        <v>1954</v>
      </c>
      <c r="Q6" s="454">
        <v>553.29999999999995</v>
      </c>
      <c r="R6" s="454">
        <v>688.7</v>
      </c>
      <c r="S6" s="454">
        <v>616.9</v>
      </c>
      <c r="T6" s="460">
        <v>738</v>
      </c>
      <c r="U6" s="457">
        <v>2596.9</v>
      </c>
      <c r="V6" s="459">
        <v>599.79999999999995</v>
      </c>
      <c r="W6" s="459">
        <v>645</v>
      </c>
      <c r="X6" s="386">
        <v>562.9</v>
      </c>
      <c r="Y6" s="460">
        <v>658.4</v>
      </c>
      <c r="Z6" s="457">
        <f t="shared" ref="Z6:Z27" si="7">SUM(V6:Y6)</f>
        <v>2466.1</v>
      </c>
      <c r="AA6" s="459">
        <v>562.1</v>
      </c>
      <c r="AB6" s="459"/>
      <c r="AC6" s="386"/>
      <c r="AD6" s="460"/>
      <c r="AE6" s="457"/>
    </row>
    <row r="7" spans="1:31" ht="20.100000000000001" customHeight="1">
      <c r="A7" s="453" t="s">
        <v>81</v>
      </c>
      <c r="B7" s="454">
        <v>2.7</v>
      </c>
      <c r="C7" s="454">
        <v>6.2</v>
      </c>
      <c r="D7" s="454">
        <v>2.6</v>
      </c>
      <c r="E7" s="454">
        <v>7.2</v>
      </c>
      <c r="F7" s="455">
        <f t="shared" si="4"/>
        <v>18.7</v>
      </c>
      <c r="G7" s="456">
        <v>13.1</v>
      </c>
      <c r="H7" s="454">
        <v>11.8</v>
      </c>
      <c r="I7" s="454">
        <v>7.1</v>
      </c>
      <c r="J7" s="454">
        <v>9.6999999999999993</v>
      </c>
      <c r="K7" s="455">
        <f t="shared" si="5"/>
        <v>41.7</v>
      </c>
      <c r="L7" s="456">
        <v>7.8999999999999986</v>
      </c>
      <c r="M7" s="454">
        <v>55.4</v>
      </c>
      <c r="N7" s="454">
        <v>104.1</v>
      </c>
      <c r="O7" s="454">
        <v>159.9</v>
      </c>
      <c r="P7" s="457">
        <f t="shared" si="6"/>
        <v>327.29999999999995</v>
      </c>
      <c r="Q7" s="454">
        <v>118.4</v>
      </c>
      <c r="R7" s="454">
        <v>106.9</v>
      </c>
      <c r="S7" s="454">
        <v>131.19999999999999</v>
      </c>
      <c r="T7" s="460">
        <v>226.89999999999998</v>
      </c>
      <c r="U7" s="457">
        <v>583.4</v>
      </c>
      <c r="V7" s="459">
        <v>172.8</v>
      </c>
      <c r="W7" s="459">
        <v>191.1</v>
      </c>
      <c r="X7" s="386">
        <v>221.3</v>
      </c>
      <c r="Y7" s="460">
        <v>265.60000000000002</v>
      </c>
      <c r="Z7" s="457">
        <f t="shared" si="7"/>
        <v>850.80000000000007</v>
      </c>
      <c r="AA7" s="459">
        <v>248.6</v>
      </c>
      <c r="AB7" s="459"/>
      <c r="AC7" s="386"/>
      <c r="AD7" s="460"/>
      <c r="AE7" s="457"/>
    </row>
    <row r="8" spans="1:31" ht="20.100000000000001" customHeight="1" thickBot="1">
      <c r="A8" s="453" t="s">
        <v>82</v>
      </c>
      <c r="B8" s="454">
        <v>7.9</v>
      </c>
      <c r="C8" s="454">
        <v>7.8</v>
      </c>
      <c r="D8" s="454">
        <v>9.5</v>
      </c>
      <c r="E8" s="454">
        <v>10.5</v>
      </c>
      <c r="F8" s="455">
        <f t="shared" si="4"/>
        <v>35.700000000000003</v>
      </c>
      <c r="G8" s="456">
        <v>8.5</v>
      </c>
      <c r="H8" s="454">
        <v>6.9</v>
      </c>
      <c r="I8" s="454">
        <v>5.9</v>
      </c>
      <c r="J8" s="454">
        <v>7.5</v>
      </c>
      <c r="K8" s="455">
        <f t="shared" si="5"/>
        <v>28.8</v>
      </c>
      <c r="L8" s="456">
        <v>5.4</v>
      </c>
      <c r="M8" s="454">
        <v>6.9</v>
      </c>
      <c r="N8" s="454">
        <v>13.2</v>
      </c>
      <c r="O8" s="454">
        <v>18.399999999999999</v>
      </c>
      <c r="P8" s="457">
        <f t="shared" si="6"/>
        <v>43.9</v>
      </c>
      <c r="Q8" s="454">
        <v>20.100000000000001</v>
      </c>
      <c r="R8" s="454">
        <v>21.6</v>
      </c>
      <c r="S8" s="454">
        <v>23.5</v>
      </c>
      <c r="T8" s="460">
        <v>24.399999999999991</v>
      </c>
      <c r="U8" s="457">
        <v>89.6</v>
      </c>
      <c r="V8" s="459">
        <v>25.7</v>
      </c>
      <c r="W8" s="459">
        <v>19.899999999999999</v>
      </c>
      <c r="X8" s="386">
        <v>19.899999999999999</v>
      </c>
      <c r="Y8" s="460">
        <v>22.1</v>
      </c>
      <c r="Z8" s="457">
        <f t="shared" si="7"/>
        <v>87.6</v>
      </c>
      <c r="AA8" s="459">
        <v>35.200000000000003</v>
      </c>
      <c r="AB8" s="459"/>
      <c r="AC8" s="386"/>
      <c r="AD8" s="460"/>
      <c r="AE8" s="457"/>
    </row>
    <row r="9" spans="1:31" s="465" customFormat="1" ht="20.100000000000001" customHeight="1" thickBot="1">
      <c r="A9" s="448" t="s">
        <v>72</v>
      </c>
      <c r="B9" s="461">
        <f t="shared" ref="B9:Z9" si="8">SUM(B10:B17)</f>
        <v>-464.5</v>
      </c>
      <c r="C9" s="461">
        <f t="shared" si="8"/>
        <v>-499.7</v>
      </c>
      <c r="D9" s="461">
        <f t="shared" si="8"/>
        <v>-444.9</v>
      </c>
      <c r="E9" s="461">
        <f t="shared" si="8"/>
        <v>-562.4</v>
      </c>
      <c r="F9" s="462">
        <f t="shared" si="8"/>
        <v>-1971.5000000000002</v>
      </c>
      <c r="G9" s="463">
        <f t="shared" si="8"/>
        <v>-512.92000000000007</v>
      </c>
      <c r="H9" s="461">
        <f t="shared" si="8"/>
        <v>-542.4</v>
      </c>
      <c r="I9" s="461">
        <f t="shared" si="8"/>
        <v>-510.7</v>
      </c>
      <c r="J9" s="461">
        <f t="shared" si="8"/>
        <v>-591.70000000000005</v>
      </c>
      <c r="K9" s="462">
        <f t="shared" si="8"/>
        <v>-2157.7199999999998</v>
      </c>
      <c r="L9" s="463">
        <f t="shared" si="8"/>
        <v>-507.40000000000003</v>
      </c>
      <c r="M9" s="461">
        <f t="shared" si="8"/>
        <v>-1351.8000000000002</v>
      </c>
      <c r="N9" s="461">
        <f t="shared" si="8"/>
        <v>-1992.5000000000002</v>
      </c>
      <c r="O9" s="461">
        <f t="shared" si="8"/>
        <v>-2125.3999999999996</v>
      </c>
      <c r="P9" s="464">
        <f t="shared" si="8"/>
        <v>-5977.1</v>
      </c>
      <c r="Q9" s="461">
        <f t="shared" si="8"/>
        <v>-1909</v>
      </c>
      <c r="R9" s="461">
        <f t="shared" si="8"/>
        <v>-1899.4999999999998</v>
      </c>
      <c r="S9" s="461">
        <f t="shared" si="8"/>
        <v>-1900.1</v>
      </c>
      <c r="T9" s="461">
        <f t="shared" si="8"/>
        <v>-2159.2999999999997</v>
      </c>
      <c r="U9" s="464">
        <f t="shared" si="8"/>
        <v>-7867.9000000000005</v>
      </c>
      <c r="V9" s="461">
        <f t="shared" si="8"/>
        <v>-1948</v>
      </c>
      <c r="W9" s="461">
        <f t="shared" si="8"/>
        <v>-2042</v>
      </c>
      <c r="X9" s="387">
        <f t="shared" si="8"/>
        <v>-1938.6999999999998</v>
      </c>
      <c r="Y9" s="387">
        <f t="shared" si="8"/>
        <v>-2140.6</v>
      </c>
      <c r="Z9" s="464">
        <f t="shared" si="8"/>
        <v>-8069.2999999999993</v>
      </c>
      <c r="AA9" s="461">
        <f>SUM(AA10:AA17)</f>
        <v>-1938.1999999999996</v>
      </c>
      <c r="AB9" s="461"/>
      <c r="AC9" s="387"/>
      <c r="AD9" s="387"/>
      <c r="AE9" s="464"/>
    </row>
    <row r="10" spans="1:31" ht="20.100000000000001" customHeight="1">
      <c r="A10" s="453" t="s">
        <v>85</v>
      </c>
      <c r="B10" s="466">
        <v>-49.7</v>
      </c>
      <c r="C10" s="466">
        <v>-55.1</v>
      </c>
      <c r="D10" s="466">
        <v>-58.6</v>
      </c>
      <c r="E10" s="466">
        <v>-59.3</v>
      </c>
      <c r="F10" s="467">
        <f>SUM(B10:E10)</f>
        <v>-222.7</v>
      </c>
      <c r="G10" s="468">
        <v>-60.7</v>
      </c>
      <c r="H10" s="466">
        <v>-62</v>
      </c>
      <c r="I10" s="466">
        <v>-62.2</v>
      </c>
      <c r="J10" s="466">
        <v>-71.400000000000006</v>
      </c>
      <c r="K10" s="467">
        <f>SUM(G10:J10)</f>
        <v>-256.3</v>
      </c>
      <c r="L10" s="468">
        <v>-71.300000000000011</v>
      </c>
      <c r="M10" s="466">
        <v>-288</v>
      </c>
      <c r="N10" s="466">
        <v>-495.9</v>
      </c>
      <c r="O10" s="466">
        <v>-557.20000000000005</v>
      </c>
      <c r="P10" s="469">
        <f>SUM(L10:O10)</f>
        <v>-1412.4</v>
      </c>
      <c r="Q10" s="466">
        <v>-482.3</v>
      </c>
      <c r="R10" s="466">
        <v>-522.4</v>
      </c>
      <c r="S10" s="466">
        <v>-551.20000000000005</v>
      </c>
      <c r="T10" s="460">
        <v>-585.09999999999991</v>
      </c>
      <c r="U10" s="469">
        <v>-2141</v>
      </c>
      <c r="V10" s="470">
        <v>-550.29999999999995</v>
      </c>
      <c r="W10" s="470">
        <v>-456.6</v>
      </c>
      <c r="X10" s="388">
        <v>-459.2</v>
      </c>
      <c r="Y10" s="460">
        <v>-472.6</v>
      </c>
      <c r="Z10" s="469">
        <f>SUM(V10:Y10)</f>
        <v>-1938.6999999999998</v>
      </c>
      <c r="AA10" s="470">
        <v>-468.2</v>
      </c>
      <c r="AB10" s="470"/>
      <c r="AC10" s="388"/>
      <c r="AD10" s="460"/>
      <c r="AE10" s="469"/>
    </row>
    <row r="11" spans="1:31" ht="18.75" customHeight="1">
      <c r="A11" s="453" t="s">
        <v>77</v>
      </c>
      <c r="B11" s="466">
        <v>-54.4</v>
      </c>
      <c r="C11" s="466">
        <v>-56.7</v>
      </c>
      <c r="D11" s="466">
        <v>-60.2</v>
      </c>
      <c r="E11" s="466">
        <v>-71.7</v>
      </c>
      <c r="F11" s="467">
        <f>SUM(B11:E11)</f>
        <v>-243</v>
      </c>
      <c r="G11" s="468">
        <v>-60.7</v>
      </c>
      <c r="H11" s="466">
        <v>-62.3</v>
      </c>
      <c r="I11" s="466">
        <v>-64.8</v>
      </c>
      <c r="J11" s="466">
        <v>-68.599999999999994</v>
      </c>
      <c r="K11" s="467">
        <f>SUM(G11:J11)</f>
        <v>-256.39999999999998</v>
      </c>
      <c r="L11" s="468">
        <v>-62.5</v>
      </c>
      <c r="M11" s="466">
        <v>-311.3</v>
      </c>
      <c r="N11" s="466">
        <v>-478.3</v>
      </c>
      <c r="O11" s="466">
        <v>-443.8</v>
      </c>
      <c r="P11" s="469">
        <f>SUM(L11:O11)</f>
        <v>-1295.9000000000001</v>
      </c>
      <c r="Q11" s="466">
        <v>-467.9</v>
      </c>
      <c r="R11" s="466">
        <v>-393.5</v>
      </c>
      <c r="S11" s="466">
        <v>-401.2</v>
      </c>
      <c r="T11" s="460">
        <v>-436.70000000000005</v>
      </c>
      <c r="U11" s="469">
        <v>-1699.3</v>
      </c>
      <c r="V11" s="470">
        <v>-423.7</v>
      </c>
      <c r="W11" s="470">
        <v>-527.5</v>
      </c>
      <c r="X11" s="388">
        <v>-507.9</v>
      </c>
      <c r="Y11" s="460">
        <v>-512.4</v>
      </c>
      <c r="Z11" s="469">
        <f>SUM(V11:Y11)</f>
        <v>-1971.5</v>
      </c>
      <c r="AA11" s="470">
        <v>-472.3</v>
      </c>
      <c r="AB11" s="470"/>
      <c r="AC11" s="388"/>
      <c r="AD11" s="460"/>
      <c r="AE11" s="469"/>
    </row>
    <row r="12" spans="1:31" ht="18.75" customHeight="1">
      <c r="A12" s="453" t="s">
        <v>86</v>
      </c>
      <c r="B12" s="466">
        <v>-5.5</v>
      </c>
      <c r="C12" s="466">
        <v>-7.6</v>
      </c>
      <c r="D12" s="466">
        <v>-7</v>
      </c>
      <c r="E12" s="466">
        <v>-16.100000000000001</v>
      </c>
      <c r="F12" s="467">
        <f>SUM(B12:E12)</f>
        <v>-36.200000000000003</v>
      </c>
      <c r="G12" s="468">
        <v>-25.8</v>
      </c>
      <c r="H12" s="466">
        <v>-16.8</v>
      </c>
      <c r="I12" s="466">
        <v>-10.7</v>
      </c>
      <c r="J12" s="466">
        <v>-10.6</v>
      </c>
      <c r="K12" s="467">
        <f>SUM(G12:J12)</f>
        <v>-63.9</v>
      </c>
      <c r="L12" s="468">
        <v>-10.300000000000011</v>
      </c>
      <c r="M12" s="466">
        <v>-189.7</v>
      </c>
      <c r="N12" s="466">
        <v>-348.6</v>
      </c>
      <c r="O12" s="466">
        <v>-376.6</v>
      </c>
      <c r="P12" s="469">
        <f>SUM(L12:O12)</f>
        <v>-925.2</v>
      </c>
      <c r="Q12" s="466">
        <v>-332.5</v>
      </c>
      <c r="R12" s="466">
        <v>-291.7</v>
      </c>
      <c r="S12" s="466">
        <v>-314.89999999999998</v>
      </c>
      <c r="T12" s="460">
        <v>-393.59999999999991</v>
      </c>
      <c r="U12" s="469">
        <v>-1332.8</v>
      </c>
      <c r="V12" s="470">
        <v>-326.8</v>
      </c>
      <c r="W12" s="470">
        <v>-317.3</v>
      </c>
      <c r="X12" s="388">
        <v>-330.5</v>
      </c>
      <c r="Y12" s="460">
        <v>-380.1</v>
      </c>
      <c r="Z12" s="469">
        <f>SUM(V12:Y12)</f>
        <v>-1354.7</v>
      </c>
      <c r="AA12" s="470">
        <v>-323.60000000000002</v>
      </c>
      <c r="AB12" s="470"/>
      <c r="AC12" s="388"/>
      <c r="AD12" s="460"/>
      <c r="AE12" s="469"/>
    </row>
    <row r="13" spans="1:31" ht="20.100000000000001" customHeight="1">
      <c r="A13" s="453" t="s">
        <v>83</v>
      </c>
      <c r="B13" s="466">
        <v>-206.8</v>
      </c>
      <c r="C13" s="466">
        <v>-226.6</v>
      </c>
      <c r="D13" s="466">
        <v>-171.5</v>
      </c>
      <c r="E13" s="466">
        <v>-219</v>
      </c>
      <c r="F13" s="467">
        <f>SUM(B13:E13)</f>
        <v>-823.9</v>
      </c>
      <c r="G13" s="468">
        <v>-207.5</v>
      </c>
      <c r="H13" s="466">
        <v>-239.5</v>
      </c>
      <c r="I13" s="466">
        <v>-219.3</v>
      </c>
      <c r="J13" s="466">
        <v>-260.7</v>
      </c>
      <c r="K13" s="467">
        <f>SUM(G13:J13)</f>
        <v>-927</v>
      </c>
      <c r="L13" s="468">
        <v>-210.60000000000002</v>
      </c>
      <c r="M13" s="466">
        <v>-260.89999999999998</v>
      </c>
      <c r="N13" s="466">
        <v>-262.39999999999998</v>
      </c>
      <c r="O13" s="466">
        <v>-295.60000000000002</v>
      </c>
      <c r="P13" s="469">
        <f>SUM(L13:O13)</f>
        <v>-1029.5</v>
      </c>
      <c r="Q13" s="466">
        <v>-235.5</v>
      </c>
      <c r="R13" s="466">
        <v>-274</v>
      </c>
      <c r="S13" s="466">
        <v>-257.3</v>
      </c>
      <c r="T13" s="460">
        <v>-299.10000000000014</v>
      </c>
      <c r="U13" s="469">
        <v>-1065.9000000000001</v>
      </c>
      <c r="V13" s="470">
        <v>-248.5</v>
      </c>
      <c r="W13" s="470">
        <v>-316.3</v>
      </c>
      <c r="X13" s="388">
        <v>-252.1</v>
      </c>
      <c r="Y13" s="460">
        <v>-297.3</v>
      </c>
      <c r="Z13" s="469">
        <f>SUM(V13:Y13)</f>
        <v>-1114.2</v>
      </c>
      <c r="AA13" s="470">
        <v>-264.3</v>
      </c>
      <c r="AB13" s="470"/>
      <c r="AC13" s="388"/>
      <c r="AD13" s="460"/>
      <c r="AE13" s="469"/>
    </row>
    <row r="14" spans="1:31" ht="18.75" customHeight="1">
      <c r="A14" s="453" t="s">
        <v>84</v>
      </c>
      <c r="B14" s="466">
        <v>-71.5</v>
      </c>
      <c r="C14" s="466">
        <v>-71.8</v>
      </c>
      <c r="D14" s="466">
        <v>-73.7</v>
      </c>
      <c r="E14" s="466">
        <v>-95.7</v>
      </c>
      <c r="F14" s="467">
        <f>SUM(B14:E14)</f>
        <v>-312.7</v>
      </c>
      <c r="G14" s="468">
        <v>-79</v>
      </c>
      <c r="H14" s="466">
        <v>-81.3</v>
      </c>
      <c r="I14" s="466">
        <v>-79.3</v>
      </c>
      <c r="J14" s="466">
        <v>-92.4</v>
      </c>
      <c r="K14" s="467">
        <f>SUM(G14:J14)</f>
        <v>-332</v>
      </c>
      <c r="L14" s="468">
        <v>-75.400000000000006</v>
      </c>
      <c r="M14" s="466">
        <v>-132.19999999999999</v>
      </c>
      <c r="N14" s="466">
        <v>-186.8</v>
      </c>
      <c r="O14" s="466">
        <v>-218.3</v>
      </c>
      <c r="P14" s="469">
        <f>SUM(L14:O14)</f>
        <v>-612.70000000000005</v>
      </c>
      <c r="Q14" s="466">
        <v>-189.2</v>
      </c>
      <c r="R14" s="466">
        <v>-193.2</v>
      </c>
      <c r="S14" s="466">
        <v>-200.1</v>
      </c>
      <c r="T14" s="460">
        <v>-220.1</v>
      </c>
      <c r="U14" s="469">
        <v>-802.6</v>
      </c>
      <c r="V14" s="470">
        <v>-200.5</v>
      </c>
      <c r="W14" s="470">
        <v>-202.2</v>
      </c>
      <c r="X14" s="388">
        <v>-202.6</v>
      </c>
      <c r="Y14" s="460">
        <v>-222.5</v>
      </c>
      <c r="Z14" s="469">
        <f>SUM(V14:Y14)</f>
        <v>-827.8</v>
      </c>
      <c r="AA14" s="470">
        <v>-211.1</v>
      </c>
      <c r="AB14" s="470"/>
      <c r="AC14" s="388"/>
      <c r="AD14" s="460"/>
      <c r="AE14" s="469"/>
    </row>
    <row r="15" spans="1:31" ht="20.100000000000001" customHeight="1">
      <c r="A15" s="453" t="s">
        <v>1</v>
      </c>
      <c r="B15" s="466">
        <v>-40.6</v>
      </c>
      <c r="C15" s="466">
        <v>-40.299999999999997</v>
      </c>
      <c r="D15" s="466">
        <v>-38.9</v>
      </c>
      <c r="E15" s="466">
        <v>-58.6</v>
      </c>
      <c r="F15" s="467">
        <f t="shared" ref="F15:F18" si="9">SUM(B15:E15)</f>
        <v>-178.4</v>
      </c>
      <c r="G15" s="468">
        <v>-43.1</v>
      </c>
      <c r="H15" s="466">
        <v>-41.9</v>
      </c>
      <c r="I15" s="466">
        <v>-40.4</v>
      </c>
      <c r="J15" s="466">
        <v>-53.2</v>
      </c>
      <c r="K15" s="467">
        <f t="shared" ref="K15:K18" si="10">SUM(G15:J15)</f>
        <v>-178.60000000000002</v>
      </c>
      <c r="L15" s="468">
        <v>-44.600000000000009</v>
      </c>
      <c r="M15" s="466">
        <v>-108.2</v>
      </c>
      <c r="N15" s="466">
        <v>-118</v>
      </c>
      <c r="O15" s="466">
        <v>-150.9</v>
      </c>
      <c r="P15" s="469">
        <f t="shared" ref="P15:P18" si="11">SUM(L15:O15)</f>
        <v>-421.70000000000005</v>
      </c>
      <c r="Q15" s="466">
        <v>-129.1</v>
      </c>
      <c r="R15" s="466">
        <v>-140.80000000000001</v>
      </c>
      <c r="S15" s="466">
        <v>-122.3</v>
      </c>
      <c r="T15" s="460">
        <v>-158.00000000000006</v>
      </c>
      <c r="U15" s="469">
        <v>-550.20000000000005</v>
      </c>
      <c r="V15" s="470">
        <v>-137.9</v>
      </c>
      <c r="W15" s="470">
        <v>-138.19999999999999</v>
      </c>
      <c r="X15" s="388">
        <v>-130.5</v>
      </c>
      <c r="Y15" s="460">
        <v>-163.9</v>
      </c>
      <c r="Z15" s="469">
        <f t="shared" si="7"/>
        <v>-570.5</v>
      </c>
      <c r="AA15" s="470">
        <v>-127.8</v>
      </c>
      <c r="AB15" s="470"/>
      <c r="AC15" s="388"/>
      <c r="AD15" s="460"/>
      <c r="AE15" s="469"/>
    </row>
    <row r="16" spans="1:31" ht="24.75" customHeight="1">
      <c r="A16" s="453" t="s">
        <v>87</v>
      </c>
      <c r="B16" s="466">
        <v>-5.9</v>
      </c>
      <c r="C16" s="466">
        <v>-8.4</v>
      </c>
      <c r="D16" s="466">
        <v>-5.3</v>
      </c>
      <c r="E16" s="466">
        <v>-7.8</v>
      </c>
      <c r="F16" s="467">
        <f t="shared" si="9"/>
        <v>-27.400000000000002</v>
      </c>
      <c r="G16" s="468">
        <v>-6.42</v>
      </c>
      <c r="H16" s="466">
        <v>-9.3000000000000007</v>
      </c>
      <c r="I16" s="466">
        <v>-5.3</v>
      </c>
      <c r="J16" s="466">
        <v>-7.2</v>
      </c>
      <c r="K16" s="467">
        <f t="shared" si="10"/>
        <v>-28.22</v>
      </c>
      <c r="L16" s="468">
        <v>-6.6999999999999993</v>
      </c>
      <c r="M16" s="466">
        <v>-18.100000000000001</v>
      </c>
      <c r="N16" s="466">
        <v>-15.3</v>
      </c>
      <c r="O16" s="466">
        <v>-27.5</v>
      </c>
      <c r="P16" s="469">
        <f t="shared" si="11"/>
        <v>-67.599999999999994</v>
      </c>
      <c r="Q16" s="466">
        <v>-18.7</v>
      </c>
      <c r="R16" s="466">
        <v>-27.8</v>
      </c>
      <c r="S16" s="466">
        <v>-8.5</v>
      </c>
      <c r="T16" s="460">
        <v>-7.6000000000000014</v>
      </c>
      <c r="U16" s="469">
        <v>-62.6</v>
      </c>
      <c r="V16" s="470">
        <v>-9.6</v>
      </c>
      <c r="W16" s="470">
        <v>-16.3</v>
      </c>
      <c r="X16" s="388">
        <v>-5.7</v>
      </c>
      <c r="Y16" s="460">
        <v>-15.3</v>
      </c>
      <c r="Z16" s="469">
        <f t="shared" si="7"/>
        <v>-46.9</v>
      </c>
      <c r="AA16" s="470">
        <v>-19.3</v>
      </c>
      <c r="AB16" s="470"/>
      <c r="AC16" s="388"/>
      <c r="AD16" s="460"/>
      <c r="AE16" s="469"/>
    </row>
    <row r="17" spans="1:31" ht="18.75" customHeight="1" thickBot="1">
      <c r="A17" s="453" t="s">
        <v>88</v>
      </c>
      <c r="B17" s="466">
        <v>-30.1</v>
      </c>
      <c r="C17" s="466">
        <v>-33.200000000000003</v>
      </c>
      <c r="D17" s="466">
        <v>-29.7</v>
      </c>
      <c r="E17" s="466">
        <v>-34.200000000000003</v>
      </c>
      <c r="F17" s="467">
        <f t="shared" si="9"/>
        <v>-127.2</v>
      </c>
      <c r="G17" s="468">
        <v>-29.7</v>
      </c>
      <c r="H17" s="466">
        <v>-29.3</v>
      </c>
      <c r="I17" s="466">
        <v>-28.7</v>
      </c>
      <c r="J17" s="466">
        <v>-27.6</v>
      </c>
      <c r="K17" s="467">
        <f t="shared" si="10"/>
        <v>-115.30000000000001</v>
      </c>
      <c r="L17" s="468">
        <v>-26.000000000000007</v>
      </c>
      <c r="M17" s="466">
        <v>-43.4</v>
      </c>
      <c r="N17" s="466">
        <v>-87.2</v>
      </c>
      <c r="O17" s="466">
        <v>-55.5</v>
      </c>
      <c r="P17" s="469">
        <f t="shared" si="11"/>
        <v>-212.10000000000002</v>
      </c>
      <c r="Q17" s="466">
        <v>-53.8</v>
      </c>
      <c r="R17" s="466">
        <v>-56.1</v>
      </c>
      <c r="S17" s="466">
        <v>-44.6</v>
      </c>
      <c r="T17" s="460">
        <v>-59.099999999999994</v>
      </c>
      <c r="U17" s="469">
        <v>-213.5</v>
      </c>
      <c r="V17" s="470">
        <v>-50.7</v>
      </c>
      <c r="W17" s="470">
        <v>-67.599999999999994</v>
      </c>
      <c r="X17" s="388">
        <v>-50.2</v>
      </c>
      <c r="Y17" s="460">
        <v>-76.5</v>
      </c>
      <c r="Z17" s="469">
        <f t="shared" si="7"/>
        <v>-245</v>
      </c>
      <c r="AA17" s="470">
        <v>-51.6</v>
      </c>
      <c r="AB17" s="470"/>
      <c r="AC17" s="388"/>
      <c r="AD17" s="460"/>
      <c r="AE17" s="469"/>
    </row>
    <row r="18" spans="1:31" s="471" customFormat="1" ht="20.100000000000001" customHeight="1" thickBot="1">
      <c r="A18" s="448" t="s">
        <v>220</v>
      </c>
      <c r="B18" s="461">
        <v>-1.7</v>
      </c>
      <c r="C18" s="461">
        <v>-1.1000000000000001</v>
      </c>
      <c r="D18" s="461">
        <v>-2</v>
      </c>
      <c r="E18" s="461">
        <v>-12.7</v>
      </c>
      <c r="F18" s="507">
        <f t="shared" si="9"/>
        <v>-17.5</v>
      </c>
      <c r="G18" s="463">
        <v>0.5</v>
      </c>
      <c r="H18" s="461">
        <v>1.5</v>
      </c>
      <c r="I18" s="461">
        <v>36.799999999999997</v>
      </c>
      <c r="J18" s="461">
        <v>-2</v>
      </c>
      <c r="K18" s="507">
        <f t="shared" si="10"/>
        <v>36.799999999999997</v>
      </c>
      <c r="L18" s="463">
        <v>3.6</v>
      </c>
      <c r="M18" s="461">
        <v>3.5</v>
      </c>
      <c r="N18" s="461">
        <v>4.7</v>
      </c>
      <c r="O18" s="461">
        <v>-2.2000000000000002</v>
      </c>
      <c r="P18" s="508">
        <f t="shared" si="11"/>
        <v>9.6000000000000014</v>
      </c>
      <c r="Q18" s="461">
        <v>8.6999999999999993</v>
      </c>
      <c r="R18" s="461">
        <v>13.8</v>
      </c>
      <c r="S18" s="461">
        <v>14.4</v>
      </c>
      <c r="T18" s="461">
        <v>-6.2</v>
      </c>
      <c r="U18" s="508">
        <v>30.7</v>
      </c>
      <c r="V18" s="509">
        <v>6.8</v>
      </c>
      <c r="W18" s="509">
        <v>6.6</v>
      </c>
      <c r="X18" s="510">
        <v>0</v>
      </c>
      <c r="Y18" s="461">
        <v>-4.5999999999999996</v>
      </c>
      <c r="Z18" s="508">
        <f t="shared" si="7"/>
        <v>8.7999999999999989</v>
      </c>
      <c r="AA18" s="509">
        <v>6.8</v>
      </c>
      <c r="AB18" s="509"/>
      <c r="AC18" s="510"/>
      <c r="AD18" s="461"/>
      <c r="AE18" s="508"/>
    </row>
    <row r="19" spans="1:31" s="465" customFormat="1" ht="20.100000000000001" customHeight="1" thickBot="1">
      <c r="A19" s="448" t="s">
        <v>50</v>
      </c>
      <c r="B19" s="461">
        <f t="shared" ref="B19:AA19" si="12">B4+B9+B18</f>
        <v>203.00000000000006</v>
      </c>
      <c r="C19" s="461">
        <f t="shared" si="12"/>
        <v>212.99999999999997</v>
      </c>
      <c r="D19" s="461">
        <f t="shared" si="12"/>
        <v>197.60000000000002</v>
      </c>
      <c r="E19" s="461">
        <f t="shared" si="12"/>
        <v>175.50000000000017</v>
      </c>
      <c r="F19" s="472">
        <f t="shared" si="12"/>
        <v>789.09999999999923</v>
      </c>
      <c r="G19" s="451">
        <f t="shared" si="12"/>
        <v>184.67999999999995</v>
      </c>
      <c r="H19" s="449">
        <f t="shared" si="12"/>
        <v>195</v>
      </c>
      <c r="I19" s="449">
        <f t="shared" si="12"/>
        <v>203.39999999999998</v>
      </c>
      <c r="J19" s="449">
        <f t="shared" si="12"/>
        <v>206.79999999999995</v>
      </c>
      <c r="K19" s="472">
        <f t="shared" si="12"/>
        <v>789.88000000000034</v>
      </c>
      <c r="L19" s="451">
        <f t="shared" si="12"/>
        <v>219.4999999999998</v>
      </c>
      <c r="M19" s="449">
        <f t="shared" si="12"/>
        <v>397.59999999999991</v>
      </c>
      <c r="N19" s="449">
        <f t="shared" si="12"/>
        <v>431.79999999999967</v>
      </c>
      <c r="O19" s="449">
        <f t="shared" si="12"/>
        <v>393.50000000000074</v>
      </c>
      <c r="P19" s="473">
        <f t="shared" si="12"/>
        <v>1442.3999999999992</v>
      </c>
      <c r="Q19" s="449">
        <f t="shared" si="12"/>
        <v>428.7</v>
      </c>
      <c r="R19" s="449">
        <f t="shared" si="12"/>
        <v>583.5</v>
      </c>
      <c r="S19" s="449">
        <f t="shared" si="12"/>
        <v>529.1999999999997</v>
      </c>
      <c r="T19" s="449">
        <f t="shared" si="12"/>
        <v>444.40000000000038</v>
      </c>
      <c r="U19" s="473">
        <f t="shared" si="12"/>
        <v>1985.7999999999995</v>
      </c>
      <c r="V19" s="449">
        <f t="shared" si="12"/>
        <v>422.8</v>
      </c>
      <c r="W19" s="449">
        <f t="shared" si="12"/>
        <v>407.50000000000011</v>
      </c>
      <c r="X19" s="385">
        <f t="shared" si="12"/>
        <v>449.10000000000036</v>
      </c>
      <c r="Y19" s="385">
        <f t="shared" si="12"/>
        <v>389.9</v>
      </c>
      <c r="Z19" s="473">
        <f t="shared" si="12"/>
        <v>1669.3</v>
      </c>
      <c r="AA19" s="449">
        <f t="shared" si="12"/>
        <v>457.20000000000033</v>
      </c>
      <c r="AB19" s="449"/>
      <c r="AC19" s="385"/>
      <c r="AD19" s="385"/>
      <c r="AE19" s="473"/>
    </row>
    <row r="20" spans="1:31" ht="20.100000000000001" customHeight="1">
      <c r="A20" s="453" t="s">
        <v>217</v>
      </c>
      <c r="B20" s="466">
        <v>12.5</v>
      </c>
      <c r="C20" s="466">
        <v>-8.5</v>
      </c>
      <c r="D20" s="466">
        <v>5.3</v>
      </c>
      <c r="E20" s="466">
        <v>5</v>
      </c>
      <c r="F20" s="467">
        <f>SUM(B20:E20)</f>
        <v>14.3</v>
      </c>
      <c r="G20" s="468">
        <v>3.9</v>
      </c>
      <c r="H20" s="466">
        <v>0.7</v>
      </c>
      <c r="I20" s="466">
        <v>7.4</v>
      </c>
      <c r="J20" s="466">
        <v>4.0999999999999996</v>
      </c>
      <c r="K20" s="467">
        <f>SUM(G20:J20)</f>
        <v>16.100000000000001</v>
      </c>
      <c r="L20" s="468">
        <v>1.2000000000000028</v>
      </c>
      <c r="M20" s="466">
        <v>23.9</v>
      </c>
      <c r="N20" s="466">
        <v>1.5</v>
      </c>
      <c r="O20" s="466">
        <v>-11.4</v>
      </c>
      <c r="P20" s="469">
        <f>SUM(L20:O20)</f>
        <v>15.200000000000001</v>
      </c>
      <c r="Q20" s="466">
        <v>28.9</v>
      </c>
      <c r="R20" s="466">
        <v>-11.9</v>
      </c>
      <c r="S20" s="466">
        <v>-5.2</v>
      </c>
      <c r="T20" s="460">
        <v>-3.2</v>
      </c>
      <c r="U20" s="469">
        <v>8.6000000000000014</v>
      </c>
      <c r="V20" s="470">
        <v>-35.200000000000003</v>
      </c>
      <c r="W20" s="470">
        <v>-21.4</v>
      </c>
      <c r="X20" s="388">
        <v>13.1</v>
      </c>
      <c r="Y20" s="460">
        <v>-26.3</v>
      </c>
      <c r="Z20" s="469">
        <f t="shared" si="7"/>
        <v>-69.8</v>
      </c>
      <c r="AA20" s="470">
        <v>30.5</v>
      </c>
      <c r="AB20" s="470"/>
      <c r="AC20" s="388"/>
      <c r="AD20" s="460"/>
      <c r="AE20" s="469"/>
    </row>
    <row r="21" spans="1:31" ht="20.100000000000001" customHeight="1">
      <c r="A21" s="453" t="s">
        <v>89</v>
      </c>
      <c r="B21" s="466">
        <v>30.1</v>
      </c>
      <c r="C21" s="466">
        <v>-92.4</v>
      </c>
      <c r="D21" s="466">
        <v>-5.2</v>
      </c>
      <c r="E21" s="466">
        <v>-43.1</v>
      </c>
      <c r="F21" s="467">
        <f t="shared" ref="F21:F22" si="13">SUM(B21:E21)</f>
        <v>-110.6</v>
      </c>
      <c r="G21" s="468">
        <v>-80.099999999999994</v>
      </c>
      <c r="H21" s="466">
        <v>-102.4</v>
      </c>
      <c r="I21" s="466">
        <v>-10.7</v>
      </c>
      <c r="J21" s="466">
        <v>-22.8</v>
      </c>
      <c r="K21" s="467">
        <f t="shared" ref="K21:K22" si="14">SUM(G21:J21)</f>
        <v>-216</v>
      </c>
      <c r="L21" s="468">
        <v>-108.70000000000005</v>
      </c>
      <c r="M21" s="466">
        <v>-273.39999999999998</v>
      </c>
      <c r="N21" s="466">
        <v>-384.7</v>
      </c>
      <c r="O21" s="466">
        <v>-379.2</v>
      </c>
      <c r="P21" s="469">
        <f t="shared" ref="P21:P22" si="15">SUM(L21:O21)</f>
        <v>-1146</v>
      </c>
      <c r="Q21" s="466">
        <v>-261.3</v>
      </c>
      <c r="R21" s="466">
        <v>-222.1</v>
      </c>
      <c r="S21" s="466">
        <v>88.8</v>
      </c>
      <c r="T21" s="460">
        <v>-270</v>
      </c>
      <c r="U21" s="469">
        <v>-664.59999999999991</v>
      </c>
      <c r="V21" s="470">
        <v>-182.7</v>
      </c>
      <c r="W21" s="470">
        <v>-133.19999999999999</v>
      </c>
      <c r="X21" s="388">
        <v>-127.3</v>
      </c>
      <c r="Y21" s="460">
        <v>-122.9</v>
      </c>
      <c r="Z21" s="469">
        <f t="shared" si="7"/>
        <v>-566.1</v>
      </c>
      <c r="AA21" s="470">
        <v>-185.5</v>
      </c>
      <c r="AB21" s="470"/>
      <c r="AC21" s="388"/>
      <c r="AD21" s="460"/>
      <c r="AE21" s="469"/>
    </row>
    <row r="22" spans="1:31" ht="26.25" customHeight="1" thickBot="1">
      <c r="A22" s="453" t="s">
        <v>191</v>
      </c>
      <c r="B22" s="466">
        <v>0.7</v>
      </c>
      <c r="C22" s="466">
        <v>0.8</v>
      </c>
      <c r="D22" s="466">
        <v>0.5</v>
      </c>
      <c r="E22" s="466">
        <v>0.8</v>
      </c>
      <c r="F22" s="467">
        <f t="shared" si="13"/>
        <v>2.8</v>
      </c>
      <c r="G22" s="468">
        <v>0.8</v>
      </c>
      <c r="H22" s="466">
        <v>0.8</v>
      </c>
      <c r="I22" s="466">
        <v>0.7</v>
      </c>
      <c r="J22" s="466">
        <v>0.6</v>
      </c>
      <c r="K22" s="467">
        <f t="shared" si="14"/>
        <v>2.9</v>
      </c>
      <c r="L22" s="468">
        <v>0.60000000000000009</v>
      </c>
      <c r="M22" s="466">
        <v>0.7</v>
      </c>
      <c r="N22" s="466">
        <v>0.7</v>
      </c>
      <c r="O22" s="466">
        <v>0.6</v>
      </c>
      <c r="P22" s="469">
        <f t="shared" si="15"/>
        <v>2.6</v>
      </c>
      <c r="Q22" s="466">
        <v>0.5</v>
      </c>
      <c r="R22" s="466">
        <v>0.9</v>
      </c>
      <c r="S22" s="466">
        <v>0.5</v>
      </c>
      <c r="T22" s="460">
        <v>0.70000000000000018</v>
      </c>
      <c r="U22" s="469">
        <v>2.6</v>
      </c>
      <c r="V22" s="470">
        <v>0.8</v>
      </c>
      <c r="W22" s="470">
        <v>-0.8</v>
      </c>
      <c r="X22" s="426">
        <v>0</v>
      </c>
      <c r="Y22" s="426">
        <v>0</v>
      </c>
      <c r="Z22" s="474">
        <f t="shared" si="7"/>
        <v>0</v>
      </c>
      <c r="AA22" s="426">
        <v>0</v>
      </c>
      <c r="AB22" s="470"/>
      <c r="AC22" s="426"/>
      <c r="AD22" s="426"/>
      <c r="AE22" s="474"/>
    </row>
    <row r="23" spans="1:31" s="465" customFormat="1" ht="20.100000000000001" customHeight="1" thickBot="1">
      <c r="A23" s="448" t="s">
        <v>213</v>
      </c>
      <c r="B23" s="449">
        <f>B19+B20+B21+B22</f>
        <v>246.30000000000004</v>
      </c>
      <c r="C23" s="449">
        <f t="shared" ref="C23:Z23" si="16">C19+C20+C21+C22</f>
        <v>112.89999999999996</v>
      </c>
      <c r="D23" s="449">
        <f t="shared" si="16"/>
        <v>198.20000000000005</v>
      </c>
      <c r="E23" s="449">
        <f t="shared" si="16"/>
        <v>138.20000000000019</v>
      </c>
      <c r="F23" s="472">
        <f t="shared" si="16"/>
        <v>695.59999999999911</v>
      </c>
      <c r="G23" s="451">
        <f t="shared" si="16"/>
        <v>109.27999999999996</v>
      </c>
      <c r="H23" s="449">
        <f t="shared" si="16"/>
        <v>94.09999999999998</v>
      </c>
      <c r="I23" s="449">
        <f t="shared" si="16"/>
        <v>200.79999999999998</v>
      </c>
      <c r="J23" s="449">
        <f t="shared" si="16"/>
        <v>188.69999999999993</v>
      </c>
      <c r="K23" s="472">
        <f t="shared" si="16"/>
        <v>592.88000000000034</v>
      </c>
      <c r="L23" s="451">
        <f t="shared" si="16"/>
        <v>112.59999999999977</v>
      </c>
      <c r="M23" s="449">
        <f t="shared" si="16"/>
        <v>148.7999999999999</v>
      </c>
      <c r="N23" s="449">
        <f t="shared" si="16"/>
        <v>49.299999999999685</v>
      </c>
      <c r="O23" s="449">
        <f t="shared" si="16"/>
        <v>3.5000000000007732</v>
      </c>
      <c r="P23" s="473">
        <f t="shared" si="16"/>
        <v>314.19999999999925</v>
      </c>
      <c r="Q23" s="449">
        <f t="shared" si="16"/>
        <v>196.79999999999995</v>
      </c>
      <c r="R23" s="449">
        <f t="shared" si="16"/>
        <v>350.4</v>
      </c>
      <c r="S23" s="449">
        <f t="shared" si="16"/>
        <v>613.29999999999961</v>
      </c>
      <c r="T23" s="449">
        <f t="shared" si="16"/>
        <v>171.90000000000038</v>
      </c>
      <c r="U23" s="473">
        <f t="shared" si="16"/>
        <v>1332.3999999999994</v>
      </c>
      <c r="V23" s="449">
        <f t="shared" si="16"/>
        <v>205.70000000000005</v>
      </c>
      <c r="W23" s="449">
        <f t="shared" si="16"/>
        <v>252.10000000000014</v>
      </c>
      <c r="X23" s="385">
        <f t="shared" si="16"/>
        <v>334.90000000000038</v>
      </c>
      <c r="Y23" s="385">
        <f t="shared" si="16"/>
        <v>240.69999999999996</v>
      </c>
      <c r="Z23" s="473">
        <f t="shared" si="16"/>
        <v>1033.4000000000001</v>
      </c>
      <c r="AA23" s="449">
        <f t="shared" ref="AA23" si="17">AA19+AA20+AA21+AA22</f>
        <v>302.20000000000033</v>
      </c>
      <c r="AB23" s="449"/>
      <c r="AC23" s="385"/>
      <c r="AD23" s="385"/>
      <c r="AE23" s="473"/>
    </row>
    <row r="24" spans="1:31" ht="20.100000000000001" customHeight="1" thickBot="1">
      <c r="A24" s="453" t="s">
        <v>2</v>
      </c>
      <c r="B24" s="466">
        <v>-41.2</v>
      </c>
      <c r="C24" s="466">
        <v>-13.4</v>
      </c>
      <c r="D24" s="466">
        <v>-26.2</v>
      </c>
      <c r="E24" s="466">
        <v>-16.600000000000001</v>
      </c>
      <c r="F24" s="467">
        <f>SUM(B24:E24)</f>
        <v>-97.4</v>
      </c>
      <c r="G24" s="468">
        <v>-14.1</v>
      </c>
      <c r="H24" s="466">
        <v>-13.4</v>
      </c>
      <c r="I24" s="466">
        <v>-24.4</v>
      </c>
      <c r="J24" s="466">
        <v>-15.5</v>
      </c>
      <c r="K24" s="467">
        <f>SUM(G24:J24)</f>
        <v>-67.400000000000006</v>
      </c>
      <c r="L24" s="468">
        <v>-14.400000000000002</v>
      </c>
      <c r="M24" s="466">
        <v>-16.7</v>
      </c>
      <c r="N24" s="466">
        <v>-1.1000000000000001</v>
      </c>
      <c r="O24" s="466">
        <v>10.5</v>
      </c>
      <c r="P24" s="469">
        <f>SUM(L24:O24)</f>
        <v>-21.700000000000003</v>
      </c>
      <c r="Q24" s="466">
        <v>-26</v>
      </c>
      <c r="R24" s="466">
        <v>-45.9</v>
      </c>
      <c r="S24" s="466">
        <v>-110.8</v>
      </c>
      <c r="T24" s="470">
        <v>13.7</v>
      </c>
      <c r="U24" s="469">
        <v>-169</v>
      </c>
      <c r="V24" s="470">
        <v>-27.2</v>
      </c>
      <c r="W24" s="470">
        <v>-21.2</v>
      </c>
      <c r="X24" s="388">
        <v>-65.099999999999994</v>
      </c>
      <c r="Y24" s="470">
        <v>101.1</v>
      </c>
      <c r="Z24" s="469">
        <f t="shared" si="7"/>
        <v>-12.400000000000006</v>
      </c>
      <c r="AA24" s="470">
        <v>-30.8</v>
      </c>
      <c r="AB24" s="470"/>
      <c r="AC24" s="388"/>
      <c r="AD24" s="470"/>
      <c r="AE24" s="469"/>
    </row>
    <row r="25" spans="1:31" s="465" customFormat="1" ht="20.100000000000001" customHeight="1" thickBot="1">
      <c r="A25" s="448" t="s">
        <v>214</v>
      </c>
      <c r="B25" s="449">
        <f t="shared" ref="B25:Z25" si="18">B23+B24</f>
        <v>205.10000000000002</v>
      </c>
      <c r="C25" s="449">
        <f t="shared" si="18"/>
        <v>99.499999999999957</v>
      </c>
      <c r="D25" s="449">
        <f t="shared" si="18"/>
        <v>172.00000000000006</v>
      </c>
      <c r="E25" s="449">
        <f t="shared" si="18"/>
        <v>121.60000000000019</v>
      </c>
      <c r="F25" s="472">
        <f>F23+F24</f>
        <v>598.19999999999914</v>
      </c>
      <c r="G25" s="451">
        <f t="shared" si="18"/>
        <v>95.179999999999964</v>
      </c>
      <c r="H25" s="449">
        <f t="shared" si="18"/>
        <v>80.699999999999974</v>
      </c>
      <c r="I25" s="449">
        <f t="shared" si="18"/>
        <v>176.39999999999998</v>
      </c>
      <c r="J25" s="449">
        <f t="shared" si="18"/>
        <v>173.19999999999993</v>
      </c>
      <c r="K25" s="472">
        <f t="shared" si="18"/>
        <v>525.48000000000036</v>
      </c>
      <c r="L25" s="451">
        <f t="shared" si="18"/>
        <v>98.199999999999761</v>
      </c>
      <c r="M25" s="449">
        <f t="shared" si="18"/>
        <v>132.09999999999991</v>
      </c>
      <c r="N25" s="449">
        <f t="shared" si="18"/>
        <v>48.199999999999683</v>
      </c>
      <c r="O25" s="449">
        <f t="shared" si="18"/>
        <v>14.000000000000773</v>
      </c>
      <c r="P25" s="473">
        <f t="shared" si="18"/>
        <v>292.49999999999926</v>
      </c>
      <c r="Q25" s="449">
        <f t="shared" si="18"/>
        <v>170.79999999999995</v>
      </c>
      <c r="R25" s="449">
        <f t="shared" si="18"/>
        <v>304.5</v>
      </c>
      <c r="S25" s="449">
        <f t="shared" si="18"/>
        <v>502.4999999999996</v>
      </c>
      <c r="T25" s="449">
        <f t="shared" si="18"/>
        <v>185.60000000000036</v>
      </c>
      <c r="U25" s="473">
        <f t="shared" si="18"/>
        <v>1163.3999999999994</v>
      </c>
      <c r="V25" s="449">
        <f t="shared" si="18"/>
        <v>178.50000000000006</v>
      </c>
      <c r="W25" s="449">
        <f t="shared" si="18"/>
        <v>230.90000000000015</v>
      </c>
      <c r="X25" s="385">
        <f t="shared" si="18"/>
        <v>269.80000000000041</v>
      </c>
      <c r="Y25" s="385">
        <f t="shared" si="18"/>
        <v>341.79999999999995</v>
      </c>
      <c r="Z25" s="473">
        <f t="shared" si="18"/>
        <v>1021.0000000000001</v>
      </c>
      <c r="AA25" s="449">
        <f t="shared" ref="AA25" si="19">AA23+AA24</f>
        <v>271.40000000000032</v>
      </c>
      <c r="AB25" s="449"/>
      <c r="AC25" s="385"/>
      <c r="AD25" s="385"/>
      <c r="AE25" s="473"/>
    </row>
    <row r="26" spans="1:31" ht="25.5">
      <c r="A26" s="453" t="s">
        <v>176</v>
      </c>
      <c r="B26" s="466">
        <f>B25</f>
        <v>205.10000000000002</v>
      </c>
      <c r="C26" s="466">
        <f t="shared" ref="C26:U26" si="20">C25</f>
        <v>99.499999999999957</v>
      </c>
      <c r="D26" s="466">
        <f t="shared" si="20"/>
        <v>172.00000000000006</v>
      </c>
      <c r="E26" s="466">
        <f t="shared" si="20"/>
        <v>121.60000000000019</v>
      </c>
      <c r="F26" s="467">
        <f t="shared" si="20"/>
        <v>598.19999999999914</v>
      </c>
      <c r="G26" s="468">
        <f t="shared" si="20"/>
        <v>95.179999999999964</v>
      </c>
      <c r="H26" s="466">
        <f t="shared" si="20"/>
        <v>80.699999999999974</v>
      </c>
      <c r="I26" s="466">
        <f t="shared" si="20"/>
        <v>176.39999999999998</v>
      </c>
      <c r="J26" s="466">
        <f t="shared" si="20"/>
        <v>173.19999999999993</v>
      </c>
      <c r="K26" s="467">
        <f t="shared" si="20"/>
        <v>525.48000000000036</v>
      </c>
      <c r="L26" s="468">
        <f t="shared" si="20"/>
        <v>98.199999999999761</v>
      </c>
      <c r="M26" s="466">
        <f t="shared" si="20"/>
        <v>132.09999999999991</v>
      </c>
      <c r="N26" s="466">
        <f t="shared" si="20"/>
        <v>48.199999999999683</v>
      </c>
      <c r="O26" s="466">
        <f t="shared" si="20"/>
        <v>14.000000000000773</v>
      </c>
      <c r="P26" s="469">
        <f t="shared" si="20"/>
        <v>292.49999999999926</v>
      </c>
      <c r="Q26" s="466">
        <f t="shared" si="20"/>
        <v>170.79999999999995</v>
      </c>
      <c r="R26" s="466">
        <f t="shared" si="20"/>
        <v>304.5</v>
      </c>
      <c r="S26" s="466">
        <f t="shared" si="20"/>
        <v>502.4999999999996</v>
      </c>
      <c r="T26" s="475">
        <f t="shared" si="20"/>
        <v>185.60000000000036</v>
      </c>
      <c r="U26" s="469">
        <f t="shared" si="20"/>
        <v>1163.3999999999994</v>
      </c>
      <c r="V26" s="470">
        <v>175.5</v>
      </c>
      <c r="W26" s="470">
        <v>237.7</v>
      </c>
      <c r="X26" s="388">
        <v>278.2</v>
      </c>
      <c r="Y26" s="475">
        <v>349.9</v>
      </c>
      <c r="Z26" s="469">
        <f t="shared" si="7"/>
        <v>1041.3</v>
      </c>
      <c r="AA26" s="470">
        <v>279.39999999999998</v>
      </c>
      <c r="AB26" s="470"/>
      <c r="AC26" s="388"/>
      <c r="AD26" s="475"/>
      <c r="AE26" s="469"/>
    </row>
    <row r="27" spans="1:31" ht="25.5">
      <c r="A27" s="453" t="s">
        <v>221</v>
      </c>
      <c r="B27" s="466"/>
      <c r="C27" s="466"/>
      <c r="D27" s="466"/>
      <c r="E27" s="466"/>
      <c r="F27" s="467"/>
      <c r="G27" s="468"/>
      <c r="H27" s="466"/>
      <c r="I27" s="466"/>
      <c r="J27" s="466"/>
      <c r="K27" s="467"/>
      <c r="L27" s="468"/>
      <c r="M27" s="466"/>
      <c r="N27" s="466"/>
      <c r="O27" s="466"/>
      <c r="P27" s="469"/>
      <c r="Q27" s="466"/>
      <c r="R27" s="466"/>
      <c r="S27" s="466"/>
      <c r="T27" s="475"/>
      <c r="U27" s="469"/>
      <c r="V27" s="470">
        <v>3</v>
      </c>
      <c r="W27" s="470">
        <v>-6.8</v>
      </c>
      <c r="X27" s="388">
        <v>-8.4</v>
      </c>
      <c r="Y27" s="475">
        <v>-8.1</v>
      </c>
      <c r="Z27" s="469">
        <f t="shared" si="7"/>
        <v>-20.299999999999997</v>
      </c>
      <c r="AA27" s="470">
        <v>-8</v>
      </c>
      <c r="AB27" s="470"/>
      <c r="AC27" s="388"/>
      <c r="AD27" s="475"/>
      <c r="AE27" s="469"/>
    </row>
    <row r="28" spans="1:31" s="465" customFormat="1" ht="20.100000000000001" customHeight="1">
      <c r="A28" s="476" t="s">
        <v>177</v>
      </c>
      <c r="B28" s="477">
        <f t="shared" ref="B28:L28" si="21">ROUND(B25/348.352836,2)</f>
        <v>0.59</v>
      </c>
      <c r="C28" s="477">
        <f t="shared" si="21"/>
        <v>0.28999999999999998</v>
      </c>
      <c r="D28" s="477">
        <f t="shared" si="21"/>
        <v>0.49</v>
      </c>
      <c r="E28" s="477">
        <f t="shared" si="21"/>
        <v>0.35</v>
      </c>
      <c r="F28" s="478">
        <f t="shared" si="21"/>
        <v>1.72</v>
      </c>
      <c r="G28" s="479">
        <f t="shared" si="21"/>
        <v>0.27</v>
      </c>
      <c r="H28" s="477">
        <f t="shared" si="21"/>
        <v>0.23</v>
      </c>
      <c r="I28" s="477">
        <f t="shared" si="21"/>
        <v>0.51</v>
      </c>
      <c r="J28" s="477">
        <f t="shared" si="21"/>
        <v>0.5</v>
      </c>
      <c r="K28" s="478">
        <f t="shared" si="21"/>
        <v>1.51</v>
      </c>
      <c r="L28" s="480">
        <f t="shared" si="21"/>
        <v>0.28000000000000003</v>
      </c>
      <c r="M28" s="477">
        <f>ROUND(M25/524.348714,2)</f>
        <v>0.25</v>
      </c>
      <c r="N28" s="477">
        <f>ROUND(N25/639.546016,2)</f>
        <v>0.08</v>
      </c>
      <c r="O28" s="477">
        <f>ROUND(O25/639.546016,2)</f>
        <v>0.02</v>
      </c>
      <c r="P28" s="481">
        <f>ROUND(P25/539.024535,2)</f>
        <v>0.54</v>
      </c>
      <c r="Q28" s="477">
        <f t="shared" ref="Q28:Z28" si="22">ROUND(Q25/639.546016,2)</f>
        <v>0.27</v>
      </c>
      <c r="R28" s="477">
        <f t="shared" si="22"/>
        <v>0.48</v>
      </c>
      <c r="S28" s="477">
        <f t="shared" si="22"/>
        <v>0.79</v>
      </c>
      <c r="T28" s="482">
        <f t="shared" si="22"/>
        <v>0.28999999999999998</v>
      </c>
      <c r="U28" s="481">
        <f t="shared" si="22"/>
        <v>1.82</v>
      </c>
      <c r="V28" s="483">
        <f t="shared" si="22"/>
        <v>0.28000000000000003</v>
      </c>
      <c r="W28" s="483">
        <f t="shared" si="22"/>
        <v>0.36</v>
      </c>
      <c r="X28" s="389">
        <f t="shared" si="22"/>
        <v>0.42</v>
      </c>
      <c r="Y28" s="389">
        <f>ROUNDUP(Y25/639.546016,2)</f>
        <v>0.54</v>
      </c>
      <c r="Z28" s="481">
        <f t="shared" si="22"/>
        <v>1.6</v>
      </c>
      <c r="AA28" s="483">
        <f t="shared" ref="AA28" si="23">ROUND(AA25/639.546016,2)</f>
        <v>0.42</v>
      </c>
      <c r="AB28" s="483"/>
      <c r="AC28" s="389"/>
      <c r="AD28" s="389"/>
      <c r="AE28" s="481"/>
    </row>
    <row r="29" spans="1:31" s="14" customFormat="1" ht="20.100000000000001" customHeight="1" thickBot="1">
      <c r="A29" s="484"/>
      <c r="B29" s="466"/>
      <c r="C29" s="466"/>
      <c r="D29" s="466"/>
      <c r="E29" s="466"/>
      <c r="F29" s="485"/>
      <c r="G29" s="466"/>
      <c r="H29" s="466"/>
      <c r="I29" s="466"/>
      <c r="J29" s="466"/>
      <c r="K29" s="485"/>
      <c r="L29" s="466"/>
      <c r="M29" s="466"/>
      <c r="N29" s="466"/>
      <c r="O29" s="466"/>
      <c r="P29" s="485"/>
      <c r="Q29" s="466"/>
      <c r="R29" s="466"/>
      <c r="S29" s="466"/>
      <c r="T29" s="466" t="s">
        <v>178</v>
      </c>
      <c r="U29" s="485"/>
      <c r="V29" s="439"/>
      <c r="W29" s="439"/>
      <c r="X29" s="390"/>
      <c r="Y29" s="466"/>
      <c r="Z29" s="485"/>
      <c r="AA29" s="439"/>
      <c r="AB29" s="439"/>
      <c r="AC29" s="390"/>
      <c r="AD29" s="466"/>
      <c r="AE29" s="485"/>
    </row>
    <row r="30" spans="1:31" s="465" customFormat="1" ht="20.100000000000001" customHeight="1">
      <c r="A30" s="486" t="s">
        <v>0</v>
      </c>
      <c r="B30" s="486">
        <f t="shared" ref="B30:AA30" si="24">B19-B11</f>
        <v>257.40000000000003</v>
      </c>
      <c r="C30" s="487">
        <f t="shared" si="24"/>
        <v>269.7</v>
      </c>
      <c r="D30" s="487">
        <f t="shared" si="24"/>
        <v>257.8</v>
      </c>
      <c r="E30" s="487">
        <f t="shared" si="24"/>
        <v>247.20000000000016</v>
      </c>
      <c r="F30" s="488">
        <f t="shared" si="24"/>
        <v>1032.0999999999992</v>
      </c>
      <c r="G30" s="486">
        <f t="shared" si="24"/>
        <v>245.37999999999994</v>
      </c>
      <c r="H30" s="487">
        <f t="shared" si="24"/>
        <v>257.3</v>
      </c>
      <c r="I30" s="487">
        <f t="shared" si="24"/>
        <v>268.2</v>
      </c>
      <c r="J30" s="487">
        <f t="shared" si="24"/>
        <v>275.39999999999998</v>
      </c>
      <c r="K30" s="488">
        <f t="shared" si="24"/>
        <v>1046.2800000000002</v>
      </c>
      <c r="L30" s="486">
        <f t="shared" si="24"/>
        <v>281.99999999999977</v>
      </c>
      <c r="M30" s="487">
        <f t="shared" si="24"/>
        <v>708.89999999999986</v>
      </c>
      <c r="N30" s="487">
        <f t="shared" si="24"/>
        <v>910.09999999999968</v>
      </c>
      <c r="O30" s="487">
        <f t="shared" si="24"/>
        <v>837.30000000000075</v>
      </c>
      <c r="P30" s="488">
        <f t="shared" si="24"/>
        <v>2738.2999999999993</v>
      </c>
      <c r="Q30" s="486">
        <f t="shared" si="24"/>
        <v>896.59999999999991</v>
      </c>
      <c r="R30" s="487">
        <f t="shared" si="24"/>
        <v>977</v>
      </c>
      <c r="S30" s="487">
        <f t="shared" si="24"/>
        <v>930.39999999999964</v>
      </c>
      <c r="T30" s="487">
        <f t="shared" si="24"/>
        <v>881.10000000000036</v>
      </c>
      <c r="U30" s="489">
        <f t="shared" si="24"/>
        <v>3685.0999999999995</v>
      </c>
      <c r="V30" s="486">
        <f t="shared" si="24"/>
        <v>846.5</v>
      </c>
      <c r="W30" s="490">
        <f t="shared" si="24"/>
        <v>935.00000000000011</v>
      </c>
      <c r="X30" s="268">
        <f t="shared" si="24"/>
        <v>957.00000000000034</v>
      </c>
      <c r="Y30" s="268">
        <f t="shared" si="24"/>
        <v>902.3</v>
      </c>
      <c r="Z30" s="489">
        <f t="shared" si="24"/>
        <v>3640.8</v>
      </c>
      <c r="AA30" s="486">
        <f t="shared" si="24"/>
        <v>929.50000000000034</v>
      </c>
      <c r="AB30" s="490"/>
      <c r="AC30" s="268"/>
      <c r="AD30" s="268"/>
      <c r="AE30" s="489"/>
    </row>
    <row r="31" spans="1:31" s="465" customFormat="1" ht="20.100000000000001" customHeight="1" thickBot="1">
      <c r="A31" s="491" t="s">
        <v>3</v>
      </c>
      <c r="B31" s="492">
        <f t="shared" ref="B31:AA31" si="25">B30/B4</f>
        <v>0.38463837417812313</v>
      </c>
      <c r="C31" s="493">
        <f t="shared" si="25"/>
        <v>0.377836929111796</v>
      </c>
      <c r="D31" s="493">
        <f t="shared" si="25"/>
        <v>0.4</v>
      </c>
      <c r="E31" s="493">
        <f t="shared" si="25"/>
        <v>0.32933653077537983</v>
      </c>
      <c r="F31" s="494">
        <f t="shared" si="25"/>
        <v>0.37151290450307745</v>
      </c>
      <c r="G31" s="492">
        <f t="shared" si="25"/>
        <v>0.35200114761153339</v>
      </c>
      <c r="H31" s="493">
        <f t="shared" si="25"/>
        <v>0.34963989672509854</v>
      </c>
      <c r="I31" s="493">
        <f t="shared" si="25"/>
        <v>0.39598405433338257</v>
      </c>
      <c r="J31" s="493">
        <f t="shared" si="25"/>
        <v>0.34403497813866329</v>
      </c>
      <c r="K31" s="495">
        <f t="shared" si="25"/>
        <v>0.35944757454995196</v>
      </c>
      <c r="L31" s="492">
        <f t="shared" si="25"/>
        <v>0.38987971795935272</v>
      </c>
      <c r="M31" s="493">
        <f t="shared" si="25"/>
        <v>0.40603700097370976</v>
      </c>
      <c r="N31" s="493">
        <f t="shared" si="25"/>
        <v>0.37613655149611497</v>
      </c>
      <c r="O31" s="493">
        <f t="shared" si="25"/>
        <v>0.33211693308476481</v>
      </c>
      <c r="P31" s="494">
        <f t="shared" si="25"/>
        <v>0.36954614772129168</v>
      </c>
      <c r="Q31" s="493">
        <f t="shared" si="25"/>
        <v>0.38497209102619145</v>
      </c>
      <c r="R31" s="493">
        <f t="shared" si="25"/>
        <v>0.39567471245747615</v>
      </c>
      <c r="S31" s="493">
        <f t="shared" si="25"/>
        <v>0.3852747525777464</v>
      </c>
      <c r="T31" s="493">
        <f t="shared" si="25"/>
        <v>0.33759914172956829</v>
      </c>
      <c r="U31" s="494">
        <f t="shared" si="25"/>
        <v>0.37515015779293487</v>
      </c>
      <c r="V31" s="493">
        <f t="shared" si="25"/>
        <v>0.35807952622673433</v>
      </c>
      <c r="W31" s="493">
        <f t="shared" si="25"/>
        <v>0.3827418232428671</v>
      </c>
      <c r="X31" s="496">
        <f t="shared" si="25"/>
        <v>0.4007873356227491</v>
      </c>
      <c r="Y31" s="496">
        <f t="shared" si="25"/>
        <v>0.35592284328034396</v>
      </c>
      <c r="Z31" s="494">
        <f t="shared" si="25"/>
        <v>0.37419063084544396</v>
      </c>
      <c r="AA31" s="493">
        <f t="shared" si="25"/>
        <v>0.38914008205643491</v>
      </c>
      <c r="AB31" s="493"/>
      <c r="AC31" s="496"/>
      <c r="AD31" s="496"/>
      <c r="AE31" s="494"/>
    </row>
    <row r="32" spans="1:31" ht="15" customHeight="1">
      <c r="A32" s="497"/>
      <c r="B32" s="498"/>
      <c r="C32" s="498"/>
      <c r="D32" s="498"/>
      <c r="E32" s="498"/>
      <c r="F32" s="498"/>
      <c r="G32" s="498"/>
      <c r="H32" s="499"/>
      <c r="I32" s="500"/>
      <c r="J32" s="500"/>
      <c r="T32" s="10"/>
      <c r="U32" s="10"/>
      <c r="V32" s="10"/>
      <c r="W32" s="10"/>
      <c r="X32" s="391"/>
      <c r="Y32" s="10"/>
      <c r="Z32" s="10"/>
      <c r="AA32" s="10"/>
      <c r="AB32" s="10"/>
      <c r="AC32" s="391"/>
      <c r="AD32" s="10"/>
      <c r="AE32" s="10"/>
    </row>
    <row r="33" spans="1:31" ht="15" customHeight="1">
      <c r="A33" s="501" t="s">
        <v>218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7"/>
      <c r="O33" s="7"/>
      <c r="P33" s="7"/>
      <c r="Q33" s="7"/>
      <c r="R33" s="7"/>
      <c r="S33" s="7"/>
      <c r="T33" s="12"/>
      <c r="U33" s="12"/>
      <c r="V33" s="12"/>
      <c r="W33" s="12"/>
      <c r="X33" s="383"/>
      <c r="Y33" s="12"/>
      <c r="Z33" s="12"/>
      <c r="AA33" s="12"/>
      <c r="AB33" s="12"/>
      <c r="AC33" s="383"/>
      <c r="AD33" s="12"/>
      <c r="AE33" s="12"/>
    </row>
    <row r="34" spans="1:31" ht="15" customHeight="1">
      <c r="A34" s="520"/>
      <c r="B34" s="520"/>
      <c r="C34" s="520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7"/>
      <c r="O34" s="7"/>
      <c r="P34" s="7"/>
      <c r="Q34" s="7"/>
      <c r="R34" s="7"/>
      <c r="S34" s="7"/>
      <c r="T34" s="12"/>
      <c r="U34" s="12"/>
      <c r="V34" s="12"/>
      <c r="W34" s="12"/>
      <c r="X34" s="383"/>
      <c r="Y34" s="12"/>
      <c r="Z34" s="12"/>
      <c r="AA34" s="12"/>
      <c r="AB34" s="12"/>
      <c r="AC34" s="383"/>
      <c r="AD34" s="12"/>
      <c r="AE34" s="12"/>
    </row>
    <row r="35" spans="1:31" ht="15" customHeight="1">
      <c r="A35" s="498"/>
      <c r="B35" s="498"/>
      <c r="C35" s="498"/>
      <c r="D35" s="498"/>
      <c r="E35" s="498"/>
      <c r="F35" s="498"/>
      <c r="G35" s="498"/>
      <c r="H35" s="499"/>
      <c r="I35" s="500"/>
      <c r="T35" s="10"/>
      <c r="U35" s="10"/>
      <c r="V35" s="10"/>
      <c r="W35" s="10"/>
      <c r="X35" s="391"/>
      <c r="Y35" s="10"/>
      <c r="Z35" s="10"/>
      <c r="AA35" s="10"/>
      <c r="AB35" s="10"/>
      <c r="AC35" s="391"/>
      <c r="AD35" s="10"/>
      <c r="AE35" s="10"/>
    </row>
    <row r="36" spans="1:31" ht="15" customHeight="1">
      <c r="A36" s="520"/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7"/>
      <c r="O36" s="7"/>
      <c r="P36" s="7"/>
      <c r="Q36" s="7"/>
      <c r="R36" s="7"/>
      <c r="S36" s="7"/>
      <c r="T36" s="12"/>
      <c r="U36" s="12"/>
      <c r="V36" s="12"/>
      <c r="W36" s="12"/>
      <c r="X36" s="383"/>
      <c r="Y36" s="12"/>
      <c r="Z36" s="12"/>
      <c r="AA36" s="12"/>
      <c r="AB36" s="12"/>
      <c r="AC36" s="383"/>
      <c r="AD36" s="12"/>
      <c r="AE36" s="12"/>
    </row>
    <row r="37" spans="1:31" ht="15" customHeight="1">
      <c r="A37" s="498"/>
      <c r="B37" s="498"/>
      <c r="C37" s="498"/>
      <c r="D37" s="498"/>
      <c r="E37" s="498"/>
      <c r="F37" s="498"/>
      <c r="G37" s="498"/>
      <c r="H37" s="499"/>
      <c r="I37" s="500"/>
      <c r="T37" s="10"/>
      <c r="U37" s="10"/>
      <c r="V37" s="10"/>
      <c r="W37" s="10"/>
      <c r="X37" s="391"/>
      <c r="Y37" s="10"/>
      <c r="Z37" s="10"/>
      <c r="AA37" s="10"/>
      <c r="AB37" s="10"/>
      <c r="AC37" s="391"/>
      <c r="AD37" s="10"/>
      <c r="AE37" s="10"/>
    </row>
    <row r="38" spans="1:31" ht="15" customHeight="1">
      <c r="A38" s="520"/>
      <c r="B38" s="520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7"/>
      <c r="O38" s="7"/>
      <c r="P38" s="7"/>
      <c r="Q38" s="7"/>
      <c r="R38" s="7"/>
      <c r="S38" s="7"/>
      <c r="T38" s="12"/>
      <c r="U38" s="12"/>
      <c r="V38" s="12"/>
      <c r="W38" s="12"/>
      <c r="X38" s="383"/>
      <c r="Y38" s="12"/>
      <c r="Z38" s="12"/>
      <c r="AA38" s="12"/>
      <c r="AB38" s="12"/>
      <c r="AC38" s="383"/>
      <c r="AD38" s="12"/>
      <c r="AE38" s="12"/>
    </row>
    <row r="39" spans="1:31" ht="15" customHeight="1">
      <c r="A39" s="497"/>
      <c r="B39" s="498"/>
      <c r="C39" s="498"/>
      <c r="D39" s="498"/>
      <c r="E39" s="498"/>
      <c r="F39" s="498"/>
      <c r="G39" s="498"/>
      <c r="H39" s="499"/>
      <c r="I39" s="500"/>
      <c r="T39" s="10"/>
      <c r="U39" s="10"/>
      <c r="V39" s="10"/>
      <c r="W39" s="10"/>
      <c r="X39" s="391"/>
      <c r="Y39" s="10"/>
      <c r="Z39" s="10"/>
      <c r="AA39" s="10"/>
      <c r="AB39" s="10"/>
      <c r="AC39" s="391"/>
      <c r="AD39" s="10"/>
      <c r="AE39" s="10"/>
    </row>
    <row r="40" spans="1:31" ht="28.5" customHeight="1">
      <c r="A40" s="497"/>
      <c r="B40" s="498"/>
      <c r="C40" s="498"/>
      <c r="D40" s="498"/>
      <c r="E40" s="498"/>
      <c r="F40" s="498"/>
      <c r="G40" s="498"/>
      <c r="H40" s="499"/>
      <c r="I40" s="500"/>
      <c r="T40" s="10"/>
      <c r="U40" s="10"/>
      <c r="V40" s="10"/>
      <c r="W40" s="10"/>
      <c r="X40" s="391"/>
      <c r="Y40" s="10"/>
      <c r="Z40" s="10"/>
      <c r="AA40" s="10"/>
      <c r="AB40" s="10"/>
      <c r="AC40" s="391"/>
      <c r="AD40" s="10"/>
      <c r="AE40" s="10"/>
    </row>
    <row r="41" spans="1:31" ht="28.5" customHeight="1">
      <c r="A41" s="497"/>
      <c r="B41" s="498"/>
      <c r="C41" s="498"/>
      <c r="D41" s="498"/>
      <c r="E41" s="498"/>
      <c r="F41" s="498"/>
      <c r="G41" s="498"/>
      <c r="H41" s="499"/>
      <c r="I41" s="500"/>
      <c r="T41" s="10"/>
      <c r="U41" s="10"/>
      <c r="V41" s="10"/>
      <c r="W41" s="10"/>
      <c r="X41" s="391"/>
      <c r="Y41" s="10"/>
      <c r="Z41" s="10"/>
      <c r="AA41" s="10"/>
      <c r="AB41" s="10"/>
      <c r="AC41" s="391"/>
      <c r="AD41" s="10"/>
      <c r="AE41" s="10"/>
    </row>
    <row r="42" spans="1:31" ht="28.5" customHeight="1">
      <c r="A42" s="497"/>
      <c r="B42" s="498"/>
      <c r="C42" s="498"/>
      <c r="D42" s="498"/>
      <c r="E42" s="498"/>
      <c r="F42" s="498"/>
      <c r="G42" s="498"/>
      <c r="H42" s="499"/>
      <c r="I42" s="500"/>
      <c r="T42" s="10"/>
      <c r="U42" s="10"/>
      <c r="V42" s="10"/>
      <c r="W42" s="10"/>
      <c r="X42" s="391"/>
      <c r="Y42" s="10"/>
      <c r="Z42" s="10"/>
      <c r="AA42" s="10"/>
      <c r="AB42" s="10"/>
      <c r="AC42" s="391"/>
      <c r="AD42" s="10"/>
      <c r="AE42" s="10"/>
    </row>
    <row r="43" spans="1:31" ht="28.5" customHeight="1">
      <c r="A43" s="497"/>
      <c r="B43" s="498"/>
      <c r="C43" s="498"/>
      <c r="D43" s="498"/>
      <c r="E43" s="498"/>
      <c r="F43" s="498"/>
      <c r="G43" s="498"/>
      <c r="H43" s="499"/>
      <c r="I43" s="500"/>
      <c r="T43" s="10"/>
      <c r="U43" s="10"/>
      <c r="V43" s="10"/>
      <c r="W43" s="10"/>
      <c r="X43" s="391"/>
      <c r="Y43" s="10"/>
      <c r="Z43" s="10"/>
      <c r="AA43" s="10"/>
      <c r="AB43" s="10"/>
      <c r="AC43" s="391"/>
      <c r="AD43" s="10"/>
      <c r="AE43" s="10"/>
    </row>
    <row r="44" spans="1:31" ht="28.5" customHeight="1">
      <c r="A44" s="497"/>
      <c r="B44" s="498"/>
      <c r="C44" s="498"/>
      <c r="D44" s="498"/>
      <c r="E44" s="498"/>
      <c r="F44" s="498"/>
      <c r="G44" s="498"/>
      <c r="H44" s="499"/>
      <c r="I44" s="500"/>
      <c r="T44" s="10"/>
      <c r="U44" s="10"/>
      <c r="V44" s="10"/>
      <c r="W44" s="10"/>
      <c r="X44" s="391"/>
      <c r="Y44" s="10"/>
      <c r="Z44" s="10"/>
      <c r="AA44" s="10"/>
      <c r="AB44" s="10"/>
      <c r="AC44" s="391"/>
      <c r="AD44" s="10"/>
      <c r="AE44" s="10"/>
    </row>
    <row r="45" spans="1:31" ht="28.5" customHeight="1">
      <c r="A45" s="497"/>
      <c r="B45" s="498"/>
      <c r="C45" s="498"/>
      <c r="D45" s="498"/>
      <c r="E45" s="498"/>
      <c r="F45" s="498"/>
      <c r="G45" s="498"/>
      <c r="H45" s="499"/>
      <c r="I45" s="500"/>
      <c r="T45" s="10"/>
      <c r="U45" s="10"/>
      <c r="V45" s="10"/>
      <c r="W45" s="10"/>
      <c r="X45" s="391"/>
      <c r="Y45" s="10"/>
      <c r="Z45" s="10"/>
      <c r="AA45" s="10"/>
      <c r="AB45" s="10"/>
      <c r="AC45" s="391"/>
      <c r="AD45" s="10"/>
      <c r="AE45" s="10"/>
    </row>
    <row r="46" spans="1:31" ht="28.5" customHeight="1">
      <c r="A46" s="497"/>
      <c r="B46" s="498"/>
      <c r="C46" s="498"/>
      <c r="D46" s="498"/>
      <c r="E46" s="498"/>
      <c r="F46" s="498"/>
      <c r="G46" s="498"/>
      <c r="H46" s="499"/>
      <c r="I46" s="500"/>
      <c r="T46" s="10"/>
      <c r="U46" s="10"/>
      <c r="V46" s="10"/>
      <c r="W46" s="10"/>
      <c r="X46" s="391"/>
      <c r="Y46" s="10"/>
      <c r="Z46" s="10"/>
      <c r="AA46" s="10"/>
      <c r="AB46" s="10"/>
      <c r="AC46" s="391"/>
      <c r="AD46" s="10"/>
      <c r="AE46" s="10"/>
    </row>
    <row r="47" spans="1:31" ht="28.5" customHeight="1">
      <c r="A47" s="497"/>
      <c r="B47" s="498"/>
      <c r="C47" s="498"/>
      <c r="D47" s="498"/>
      <c r="E47" s="498"/>
      <c r="F47" s="498"/>
      <c r="G47" s="498"/>
      <c r="H47" s="499"/>
      <c r="I47" s="500"/>
      <c r="T47" s="10"/>
      <c r="U47" s="10"/>
      <c r="V47" s="10"/>
      <c r="W47" s="10"/>
      <c r="X47" s="391"/>
      <c r="Y47" s="10"/>
      <c r="Z47" s="10"/>
      <c r="AA47" s="10"/>
      <c r="AB47" s="10"/>
      <c r="AC47" s="391"/>
      <c r="AD47" s="10"/>
      <c r="AE47" s="10"/>
    </row>
    <row r="48" spans="1:31" ht="28.5" customHeight="1">
      <c r="A48" s="497"/>
      <c r="B48" s="498"/>
      <c r="C48" s="498"/>
      <c r="D48" s="498"/>
      <c r="E48" s="498"/>
      <c r="F48" s="498"/>
      <c r="G48" s="498"/>
      <c r="H48" s="499"/>
      <c r="I48" s="500"/>
      <c r="T48" s="10"/>
      <c r="U48" s="10"/>
      <c r="V48" s="10"/>
      <c r="W48" s="10"/>
      <c r="X48" s="391"/>
      <c r="Y48" s="10"/>
      <c r="Z48" s="10"/>
      <c r="AA48" s="10"/>
      <c r="AB48" s="10"/>
      <c r="AC48" s="391"/>
      <c r="AD48" s="10"/>
      <c r="AE48" s="10"/>
    </row>
    <row r="49" spans="1:9" ht="28.5" customHeight="1">
      <c r="A49" s="497"/>
      <c r="B49" s="498"/>
      <c r="C49" s="498"/>
      <c r="D49" s="498"/>
      <c r="E49" s="498"/>
      <c r="F49" s="498"/>
      <c r="G49" s="498"/>
      <c r="H49" s="499"/>
      <c r="I49" s="500"/>
    </row>
  </sheetData>
  <mergeCells count="9">
    <mergeCell ref="A38:M38"/>
    <mergeCell ref="B2:F2"/>
    <mergeCell ref="G2:K2"/>
    <mergeCell ref="L2:P2"/>
    <mergeCell ref="AA2:AE2"/>
    <mergeCell ref="Q2:U2"/>
    <mergeCell ref="V2:Z2"/>
    <mergeCell ref="A34:M34"/>
    <mergeCell ref="A36:M3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Z14:Z15 Z5:Z8 Z20:Z22 Z24 Z16:Z18 Z10:Z13 AA9 B9:E9 G9:J9 L9:O9 Q9:Y9" formulaRange="1"/>
    <ignoredError sqref="Z19 Z23 Z25 Y28 F9 F19 K9 K19 P9 P19 Z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8"/>
  <sheetViews>
    <sheetView showGridLines="0" zoomScale="85" zoomScaleNormal="85" zoomScaleSheetLayoutView="100" workbookViewId="0">
      <selection activeCell="AB20" sqref="AB20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3.2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3.375" customWidth="1"/>
    <col min="11" max="11" width="1.875" customWidth="1"/>
    <col min="12" max="12" width="9.625" customWidth="1"/>
    <col min="13" max="13" width="12.875" customWidth="1"/>
    <col min="14" max="14" width="1.875" customWidth="1"/>
    <col min="15" max="15" width="13.25" customWidth="1"/>
    <col min="16" max="16" width="1.875" customWidth="1"/>
    <col min="17" max="17" width="9.625" customWidth="1"/>
    <col min="18" max="18" width="12.875" customWidth="1"/>
    <col min="19" max="19" width="13.625" customWidth="1"/>
    <col min="20" max="20" width="9.625" customWidth="1"/>
    <col min="21" max="497" width="9" style="16"/>
  </cols>
  <sheetData>
    <row r="1" spans="2:497" ht="50.25" customHeight="1" thickBot="1">
      <c r="B1" s="3" t="s">
        <v>179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2:497" s="19" customFormat="1" ht="30" customHeight="1" thickBot="1">
      <c r="B2" s="534" t="s">
        <v>105</v>
      </c>
      <c r="C2" s="527" t="s">
        <v>110</v>
      </c>
      <c r="D2" s="528"/>
      <c r="E2" s="528"/>
      <c r="F2" s="528"/>
      <c r="G2" s="529"/>
      <c r="H2" s="527" t="s">
        <v>111</v>
      </c>
      <c r="I2" s="528"/>
      <c r="J2" s="528"/>
      <c r="K2" s="528"/>
      <c r="L2" s="529"/>
      <c r="M2" s="527" t="s">
        <v>112</v>
      </c>
      <c r="N2" s="528"/>
      <c r="O2" s="528"/>
      <c r="P2" s="528"/>
      <c r="Q2" s="529"/>
      <c r="R2" s="527" t="s">
        <v>113</v>
      </c>
      <c r="S2" s="528"/>
      <c r="T2" s="529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</row>
    <row r="3" spans="2:497" s="19" customFormat="1" ht="20.25" customHeight="1" thickBot="1">
      <c r="B3" s="535"/>
      <c r="C3" s="530" t="s">
        <v>224</v>
      </c>
      <c r="D3" s="531"/>
      <c r="E3" s="531"/>
      <c r="F3" s="531"/>
      <c r="G3" s="532"/>
      <c r="H3" s="530" t="s">
        <v>224</v>
      </c>
      <c r="I3" s="531"/>
      <c r="J3" s="531"/>
      <c r="K3" s="531"/>
      <c r="L3" s="532"/>
      <c r="M3" s="530" t="s">
        <v>224</v>
      </c>
      <c r="N3" s="531"/>
      <c r="O3" s="531"/>
      <c r="P3" s="531"/>
      <c r="Q3" s="532"/>
      <c r="R3" s="530" t="s">
        <v>224</v>
      </c>
      <c r="S3" s="531"/>
      <c r="T3" s="532"/>
      <c r="U3" s="17"/>
      <c r="V3" s="20"/>
      <c r="W3" s="20"/>
      <c r="X3" s="20"/>
      <c r="Y3" s="20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</row>
    <row r="4" spans="2:497" s="24" customFormat="1" ht="20.25" customHeight="1" thickBot="1">
      <c r="B4" s="536"/>
      <c r="C4" s="262" t="s">
        <v>227</v>
      </c>
      <c r="D4" s="263"/>
      <c r="E4" s="264" t="s">
        <v>225</v>
      </c>
      <c r="F4" s="265"/>
      <c r="G4" s="266" t="s">
        <v>114</v>
      </c>
      <c r="H4" s="262" t="s">
        <v>227</v>
      </c>
      <c r="I4" s="263"/>
      <c r="J4" s="265" t="s">
        <v>225</v>
      </c>
      <c r="K4" s="265"/>
      <c r="L4" s="266" t="s">
        <v>114</v>
      </c>
      <c r="M4" s="262" t="s">
        <v>227</v>
      </c>
      <c r="N4" s="263"/>
      <c r="O4" s="265" t="s">
        <v>225</v>
      </c>
      <c r="P4" s="265"/>
      <c r="Q4" s="267" t="s">
        <v>114</v>
      </c>
      <c r="R4" s="262" t="s">
        <v>227</v>
      </c>
      <c r="S4" s="265" t="s">
        <v>225</v>
      </c>
      <c r="T4" s="267" t="s">
        <v>114</v>
      </c>
      <c r="U4" s="21"/>
      <c r="V4" s="22"/>
      <c r="W4" s="22"/>
      <c r="X4" s="22"/>
      <c r="Y4" s="22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</row>
    <row r="5" spans="2:497" s="19" customFormat="1" ht="20.25" customHeight="1">
      <c r="B5" s="25" t="s">
        <v>115</v>
      </c>
      <c r="C5" s="421">
        <v>2120.1</v>
      </c>
      <c r="D5" s="311"/>
      <c r="E5" s="312">
        <v>2098.1999999999998</v>
      </c>
      <c r="F5" s="312"/>
      <c r="G5" s="313">
        <f>C5-E5</f>
        <v>21.900000000000091</v>
      </c>
      <c r="H5" s="314">
        <v>268.5</v>
      </c>
      <c r="I5" s="27"/>
      <c r="J5" s="312">
        <v>265.8</v>
      </c>
      <c r="K5" s="26"/>
      <c r="L5" s="339">
        <f>H5-J5</f>
        <v>2.6999999999999886</v>
      </c>
      <c r="M5" s="345">
        <v>0</v>
      </c>
      <c r="N5" s="346"/>
      <c r="O5" s="347">
        <v>0</v>
      </c>
      <c r="P5" s="347"/>
      <c r="Q5" s="348">
        <f>M5-O5</f>
        <v>0</v>
      </c>
      <c r="R5" s="363">
        <f>C5+H5+M5</f>
        <v>2388.6</v>
      </c>
      <c r="S5" s="364">
        <f>E5+J5+O5</f>
        <v>2364</v>
      </c>
      <c r="T5" s="358">
        <f>R5-S5</f>
        <v>24.599999999999909</v>
      </c>
      <c r="U5" s="17"/>
      <c r="V5" s="29"/>
      <c r="W5" s="29"/>
      <c r="X5" s="29"/>
      <c r="Y5" s="20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</row>
    <row r="6" spans="2:497" s="19" customFormat="1" ht="20.25" customHeight="1">
      <c r="B6" s="30" t="s">
        <v>116</v>
      </c>
      <c r="C6" s="314">
        <v>9.8000000000000007</v>
      </c>
      <c r="D6" s="315"/>
      <c r="E6" s="316">
        <v>7.3</v>
      </c>
      <c r="F6" s="316"/>
      <c r="G6" s="317">
        <f t="shared" ref="G6:G14" si="0">C6-E6</f>
        <v>2.5000000000000009</v>
      </c>
      <c r="H6" s="314">
        <v>36.5</v>
      </c>
      <c r="I6" s="31"/>
      <c r="J6" s="316">
        <v>32.799999999999997</v>
      </c>
      <c r="K6" s="32"/>
      <c r="L6" s="340">
        <f t="shared" ref="L6:L11" si="1">H6-J6</f>
        <v>3.7000000000000028</v>
      </c>
      <c r="M6" s="314">
        <v>-46.3</v>
      </c>
      <c r="N6" s="315"/>
      <c r="O6" s="316">
        <v>-40.1</v>
      </c>
      <c r="P6" s="316"/>
      <c r="Q6" s="348">
        <f t="shared" ref="Q6:Q14" si="2">M6-O6</f>
        <v>-6.1999999999999957</v>
      </c>
      <c r="R6" s="350">
        <f t="shared" ref="R6:R14" si="3">C6+H6+M6</f>
        <v>0</v>
      </c>
      <c r="S6" s="347">
        <f t="shared" ref="S6:S11" si="4">E6+J6+O6</f>
        <v>0</v>
      </c>
      <c r="T6" s="348">
        <f t="shared" ref="T6:T11" si="5">R6-S6</f>
        <v>0</v>
      </c>
      <c r="U6" s="17"/>
      <c r="V6" s="28"/>
      <c r="W6" s="28"/>
      <c r="X6" s="28"/>
      <c r="Y6" s="20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</row>
    <row r="7" spans="2:497" s="41" customFormat="1" ht="20.25" customHeight="1">
      <c r="B7" s="33" t="s">
        <v>117</v>
      </c>
      <c r="C7" s="318">
        <f>C5+C6</f>
        <v>2129.9</v>
      </c>
      <c r="D7" s="319"/>
      <c r="E7" s="320">
        <f>E5+E6</f>
        <v>2105.5</v>
      </c>
      <c r="F7" s="320"/>
      <c r="G7" s="321">
        <f>C7-E7</f>
        <v>24.400000000000091</v>
      </c>
      <c r="H7" s="318">
        <f>H5+H6</f>
        <v>305</v>
      </c>
      <c r="I7" s="34"/>
      <c r="J7" s="320">
        <f>J5+J6</f>
        <v>298.60000000000002</v>
      </c>
      <c r="K7" s="36"/>
      <c r="L7" s="341">
        <f t="shared" si="1"/>
        <v>6.3999999999999773</v>
      </c>
      <c r="M7" s="318">
        <f>M5+M6</f>
        <v>-46.3</v>
      </c>
      <c r="N7" s="319"/>
      <c r="O7" s="320">
        <f>O5+O6</f>
        <v>-40.1</v>
      </c>
      <c r="P7" s="320"/>
      <c r="Q7" s="349">
        <f t="shared" si="2"/>
        <v>-6.1999999999999957</v>
      </c>
      <c r="R7" s="351">
        <f t="shared" si="3"/>
        <v>2388.6</v>
      </c>
      <c r="S7" s="352">
        <f t="shared" si="4"/>
        <v>2364</v>
      </c>
      <c r="T7" s="349">
        <f t="shared" si="5"/>
        <v>24.599999999999909</v>
      </c>
      <c r="U7" s="37"/>
      <c r="V7" s="38"/>
      <c r="W7" s="38"/>
      <c r="X7" s="38"/>
      <c r="Y7" s="39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</row>
    <row r="8" spans="2:497" s="41" customFormat="1" ht="20.25" customHeight="1">
      <c r="B8" s="33" t="s">
        <v>192</v>
      </c>
      <c r="C8" s="318">
        <v>821.4</v>
      </c>
      <c r="D8" s="319"/>
      <c r="E8" s="320">
        <v>745.4</v>
      </c>
      <c r="F8" s="320"/>
      <c r="G8" s="321">
        <f t="shared" si="0"/>
        <v>76</v>
      </c>
      <c r="H8" s="318">
        <v>108.1</v>
      </c>
      <c r="I8" s="42"/>
      <c r="J8" s="320">
        <v>101.1</v>
      </c>
      <c r="K8" s="35"/>
      <c r="L8" s="341">
        <f t="shared" si="1"/>
        <v>7</v>
      </c>
      <c r="M8" s="350">
        <v>0</v>
      </c>
      <c r="N8" s="351"/>
      <c r="O8" s="352">
        <v>0</v>
      </c>
      <c r="P8" s="320"/>
      <c r="Q8" s="349">
        <f t="shared" si="2"/>
        <v>0</v>
      </c>
      <c r="R8" s="351">
        <f>C8+H8+M8</f>
        <v>929.5</v>
      </c>
      <c r="S8" s="352">
        <f t="shared" si="4"/>
        <v>846.5</v>
      </c>
      <c r="T8" s="349">
        <f t="shared" si="5"/>
        <v>83</v>
      </c>
      <c r="U8" s="37"/>
      <c r="V8" s="38"/>
      <c r="W8" s="38"/>
      <c r="X8" s="38"/>
      <c r="Y8" s="39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0"/>
      <c r="OD8" s="40"/>
      <c r="OE8" s="40"/>
      <c r="OF8" s="40"/>
      <c r="OG8" s="40"/>
      <c r="OH8" s="40"/>
      <c r="OI8" s="40"/>
      <c r="OJ8" s="40"/>
      <c r="OK8" s="40"/>
      <c r="OL8" s="40"/>
      <c r="OM8" s="40"/>
      <c r="ON8" s="40"/>
      <c r="OO8" s="40"/>
      <c r="OP8" s="40"/>
      <c r="OQ8" s="40"/>
      <c r="OR8" s="40"/>
      <c r="OS8" s="40"/>
      <c r="OT8" s="40"/>
      <c r="OU8" s="40"/>
      <c r="OV8" s="40"/>
      <c r="OW8" s="40"/>
      <c r="OX8" s="40"/>
      <c r="OY8" s="40"/>
      <c r="OZ8" s="40"/>
      <c r="PA8" s="40"/>
      <c r="PB8" s="40"/>
      <c r="PC8" s="40"/>
      <c r="PD8" s="40"/>
      <c r="PE8" s="40"/>
      <c r="PF8" s="40"/>
      <c r="PG8" s="40"/>
      <c r="PH8" s="40"/>
      <c r="PI8" s="40"/>
      <c r="PJ8" s="40"/>
      <c r="PK8" s="40"/>
      <c r="PL8" s="40"/>
      <c r="PM8" s="40"/>
      <c r="PN8" s="40"/>
      <c r="PO8" s="40"/>
      <c r="PP8" s="40"/>
      <c r="PQ8" s="40"/>
      <c r="PR8" s="40"/>
      <c r="PS8" s="40"/>
      <c r="PT8" s="40"/>
      <c r="PU8" s="40"/>
      <c r="PV8" s="40"/>
      <c r="PW8" s="40"/>
      <c r="PX8" s="40"/>
      <c r="PY8" s="40"/>
      <c r="PZ8" s="40"/>
      <c r="QA8" s="40"/>
      <c r="QB8" s="40"/>
      <c r="QC8" s="40"/>
      <c r="QD8" s="40"/>
      <c r="QE8" s="40"/>
      <c r="QF8" s="40"/>
      <c r="QG8" s="40"/>
      <c r="QH8" s="40"/>
      <c r="QI8" s="40"/>
      <c r="QJ8" s="40"/>
      <c r="QK8" s="40"/>
      <c r="QL8" s="40"/>
      <c r="QM8" s="40"/>
      <c r="QN8" s="40"/>
      <c r="QO8" s="40"/>
      <c r="QP8" s="40"/>
      <c r="QQ8" s="40"/>
      <c r="QR8" s="40"/>
      <c r="QS8" s="40"/>
      <c r="QT8" s="40"/>
      <c r="QU8" s="40"/>
      <c r="QV8" s="40"/>
      <c r="QW8" s="40"/>
      <c r="QX8" s="40"/>
      <c r="QY8" s="40"/>
      <c r="QZ8" s="40"/>
      <c r="RA8" s="40"/>
      <c r="RB8" s="40"/>
      <c r="RC8" s="40"/>
      <c r="RD8" s="40"/>
      <c r="RE8" s="40"/>
      <c r="RF8" s="40"/>
      <c r="RG8" s="40"/>
      <c r="RH8" s="40"/>
      <c r="RI8" s="40"/>
      <c r="RJ8" s="40"/>
      <c r="RK8" s="40"/>
      <c r="RL8" s="40"/>
      <c r="RM8" s="40"/>
      <c r="RN8" s="40"/>
      <c r="RO8" s="40"/>
      <c r="RP8" s="40"/>
      <c r="RQ8" s="40"/>
      <c r="RR8" s="40"/>
      <c r="RS8" s="40"/>
      <c r="RT8" s="40"/>
      <c r="RU8" s="40"/>
      <c r="RV8" s="40"/>
      <c r="RW8" s="40"/>
      <c r="RX8" s="40"/>
      <c r="RY8" s="40"/>
      <c r="RZ8" s="40"/>
      <c r="SA8" s="40"/>
      <c r="SB8" s="40"/>
      <c r="SC8" s="40"/>
    </row>
    <row r="9" spans="2:497" s="19" customFormat="1" ht="32.25" customHeight="1">
      <c r="B9" s="30" t="s">
        <v>77</v>
      </c>
      <c r="C9" s="314">
        <v>462.7</v>
      </c>
      <c r="D9" s="319"/>
      <c r="E9" s="316">
        <v>413.6</v>
      </c>
      <c r="F9" s="320"/>
      <c r="G9" s="317">
        <f t="shared" si="0"/>
        <v>49.099999999999966</v>
      </c>
      <c r="H9" s="314">
        <v>9.6</v>
      </c>
      <c r="I9" s="31"/>
      <c r="J9" s="316">
        <v>10.1</v>
      </c>
      <c r="K9" s="32"/>
      <c r="L9" s="340">
        <f t="shared" si="1"/>
        <v>-0.5</v>
      </c>
      <c r="M9" s="345">
        <v>0</v>
      </c>
      <c r="N9" s="346"/>
      <c r="O9" s="347">
        <v>0</v>
      </c>
      <c r="P9" s="316"/>
      <c r="Q9" s="348">
        <f t="shared" si="2"/>
        <v>0</v>
      </c>
      <c r="R9" s="346">
        <f>C9+H9+M9</f>
        <v>472.3</v>
      </c>
      <c r="S9" s="347">
        <f t="shared" si="4"/>
        <v>423.70000000000005</v>
      </c>
      <c r="T9" s="348">
        <f t="shared" si="5"/>
        <v>48.599999999999966</v>
      </c>
      <c r="U9" s="17"/>
      <c r="V9" s="38"/>
      <c r="W9" s="38"/>
      <c r="X9" s="38"/>
      <c r="Y9" s="20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</row>
    <row r="10" spans="2:497" s="41" customFormat="1" ht="20.25" customHeight="1">
      <c r="B10" s="33" t="s">
        <v>96</v>
      </c>
      <c r="C10" s="318">
        <f>C8-C9</f>
        <v>358.7</v>
      </c>
      <c r="D10" s="322"/>
      <c r="E10" s="323">
        <f>E8-E9</f>
        <v>331.79999999999995</v>
      </c>
      <c r="F10" s="320"/>
      <c r="G10" s="321">
        <f>C10-E10</f>
        <v>26.900000000000034</v>
      </c>
      <c r="H10" s="318">
        <f>H8-H9</f>
        <v>98.5</v>
      </c>
      <c r="I10" s="43"/>
      <c r="J10" s="323">
        <f>J8-J9</f>
        <v>91</v>
      </c>
      <c r="K10" s="35"/>
      <c r="L10" s="341">
        <f t="shared" si="1"/>
        <v>7.5</v>
      </c>
      <c r="M10" s="350">
        <f>M8-M9</f>
        <v>0</v>
      </c>
      <c r="N10" s="351"/>
      <c r="O10" s="352">
        <f>O8-O9</f>
        <v>0</v>
      </c>
      <c r="P10" s="320"/>
      <c r="Q10" s="349">
        <f t="shared" si="2"/>
        <v>0</v>
      </c>
      <c r="R10" s="351">
        <f t="shared" si="3"/>
        <v>457.2</v>
      </c>
      <c r="S10" s="352">
        <f>E10+J10+O10</f>
        <v>422.79999999999995</v>
      </c>
      <c r="T10" s="349">
        <f t="shared" si="5"/>
        <v>34.400000000000034</v>
      </c>
      <c r="U10" s="37"/>
      <c r="V10" s="38"/>
      <c r="W10" s="38"/>
      <c r="X10" s="38"/>
      <c r="Y10" s="39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</row>
    <row r="11" spans="2:497" s="19" customFormat="1" ht="48" customHeight="1" thickBot="1">
      <c r="B11" s="44" t="s">
        <v>118</v>
      </c>
      <c r="C11" s="324">
        <v>196.5</v>
      </c>
      <c r="D11" s="336">
        <v>1</v>
      </c>
      <c r="E11" s="325">
        <v>142.30000000000001</v>
      </c>
      <c r="F11" s="337">
        <v>1</v>
      </c>
      <c r="G11" s="326">
        <f t="shared" si="0"/>
        <v>54.199999999999989</v>
      </c>
      <c r="H11" s="324">
        <v>8.9</v>
      </c>
      <c r="I11" s="46"/>
      <c r="J11" s="325">
        <v>7.9</v>
      </c>
      <c r="K11" s="45"/>
      <c r="L11" s="342">
        <f t="shared" si="1"/>
        <v>1</v>
      </c>
      <c r="M11" s="353">
        <v>0</v>
      </c>
      <c r="N11" s="354"/>
      <c r="O11" s="355">
        <v>0</v>
      </c>
      <c r="P11" s="356"/>
      <c r="Q11" s="357">
        <f t="shared" si="2"/>
        <v>0</v>
      </c>
      <c r="R11" s="354">
        <f t="shared" si="3"/>
        <v>205.4</v>
      </c>
      <c r="S11" s="355">
        <f t="shared" si="4"/>
        <v>150.20000000000002</v>
      </c>
      <c r="T11" s="365">
        <f t="shared" si="5"/>
        <v>55.199999999999989</v>
      </c>
      <c r="U11" s="17"/>
      <c r="V11" s="38"/>
      <c r="W11" s="38"/>
      <c r="X11" s="38"/>
      <c r="Y11" s="20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</row>
    <row r="12" spans="2:497" s="19" customFormat="1" ht="20.25" customHeight="1">
      <c r="B12" s="47" t="s">
        <v>226</v>
      </c>
      <c r="C12" s="327"/>
      <c r="D12" s="328"/>
      <c r="E12" s="329"/>
      <c r="F12" s="329"/>
      <c r="G12" s="330"/>
      <c r="H12" s="328"/>
      <c r="I12" s="48"/>
      <c r="J12" s="329"/>
      <c r="K12" s="49"/>
      <c r="L12" s="343">
        <f>H12-J12</f>
        <v>0</v>
      </c>
      <c r="M12" s="327"/>
      <c r="N12" s="328"/>
      <c r="O12" s="329"/>
      <c r="P12" s="329"/>
      <c r="Q12" s="358">
        <f t="shared" si="2"/>
        <v>0</v>
      </c>
      <c r="R12" s="328"/>
      <c r="S12" s="329"/>
      <c r="T12" s="330"/>
      <c r="U12" s="17"/>
      <c r="V12" s="29"/>
      <c r="W12" s="29"/>
      <c r="X12" s="29"/>
      <c r="Y12" s="20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</row>
    <row r="13" spans="2:497" s="19" customFormat="1" ht="20.25" customHeight="1">
      <c r="B13" s="50" t="s">
        <v>119</v>
      </c>
      <c r="C13" s="314">
        <v>23112.5</v>
      </c>
      <c r="D13" s="331"/>
      <c r="E13" s="316">
        <v>24108.2</v>
      </c>
      <c r="F13" s="332"/>
      <c r="G13" s="317">
        <f t="shared" si="0"/>
        <v>-995.70000000000073</v>
      </c>
      <c r="H13" s="434">
        <v>4488.3</v>
      </c>
      <c r="I13" s="51">
        <v>2</v>
      </c>
      <c r="J13" s="316">
        <v>4292.2</v>
      </c>
      <c r="K13" s="52">
        <v>2</v>
      </c>
      <c r="L13" s="317">
        <f>H13-J13</f>
        <v>196.10000000000036</v>
      </c>
      <c r="M13" s="314">
        <v>-47.6</v>
      </c>
      <c r="N13" s="359"/>
      <c r="O13" s="316">
        <v>-44.9</v>
      </c>
      <c r="P13" s="360"/>
      <c r="Q13" s="348">
        <f t="shared" si="2"/>
        <v>-2.7000000000000028</v>
      </c>
      <c r="R13" s="345">
        <f>C13+H13+M13</f>
        <v>27553.200000000001</v>
      </c>
      <c r="S13" s="316">
        <f>J13+O13+E13</f>
        <v>28355.5</v>
      </c>
      <c r="T13" s="317">
        <f>R13-S13</f>
        <v>-802.29999999999927</v>
      </c>
      <c r="U13" s="17"/>
      <c r="V13" s="29"/>
      <c r="W13" s="29"/>
      <c r="X13" s="29"/>
      <c r="Y13" s="20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</row>
    <row r="14" spans="2:497" s="19" customFormat="1" ht="31.5" customHeight="1" thickBot="1">
      <c r="B14" s="53" t="s">
        <v>120</v>
      </c>
      <c r="C14" s="333">
        <v>0</v>
      </c>
      <c r="D14" s="334"/>
      <c r="E14" s="335">
        <v>0</v>
      </c>
      <c r="F14" s="335"/>
      <c r="G14" s="338">
        <f t="shared" si="0"/>
        <v>0</v>
      </c>
      <c r="H14" s="435">
        <v>5.9</v>
      </c>
      <c r="I14" s="55"/>
      <c r="J14" s="335">
        <v>6.7</v>
      </c>
      <c r="K14" s="54"/>
      <c r="L14" s="344">
        <f t="shared" ref="L14" si="6">H14-J14</f>
        <v>-0.79999999999999982</v>
      </c>
      <c r="M14" s="361">
        <v>0</v>
      </c>
      <c r="N14" s="334"/>
      <c r="O14" s="335">
        <v>0</v>
      </c>
      <c r="P14" s="335"/>
      <c r="Q14" s="362">
        <f t="shared" si="2"/>
        <v>0</v>
      </c>
      <c r="R14" s="366">
        <f t="shared" si="3"/>
        <v>5.9</v>
      </c>
      <c r="S14" s="367">
        <f>J14+O14+E14</f>
        <v>6.7</v>
      </c>
      <c r="T14" s="338">
        <f>R14-S14</f>
        <v>-0.79999999999999982</v>
      </c>
      <c r="U14" s="17"/>
      <c r="V14" s="29"/>
      <c r="W14" s="29"/>
      <c r="X14" s="29"/>
      <c r="Y14" s="20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</row>
    <row r="15" spans="2:497" s="18" customFormat="1" ht="20.25" customHeight="1">
      <c r="B15" s="533" t="s">
        <v>211</v>
      </c>
      <c r="C15" s="533"/>
      <c r="D15" s="533"/>
      <c r="E15" s="533"/>
      <c r="F15" s="533"/>
      <c r="G15" s="533"/>
      <c r="H15" s="56"/>
      <c r="I15" s="56"/>
      <c r="J15" s="57"/>
      <c r="K15" s="57"/>
      <c r="L15" s="57"/>
      <c r="M15" s="56"/>
      <c r="N15" s="56"/>
      <c r="O15" s="56"/>
      <c r="P15" s="56"/>
      <c r="Q15" s="56"/>
      <c r="R15" s="56"/>
      <c r="S15" s="56"/>
      <c r="T15" s="56"/>
      <c r="U15" s="17"/>
      <c r="V15" s="20"/>
      <c r="W15" s="20"/>
      <c r="X15" s="20"/>
      <c r="Y15" s="20"/>
    </row>
    <row r="16" spans="2:497" s="16" customFormat="1" ht="15">
      <c r="B16" s="58" t="s">
        <v>212</v>
      </c>
      <c r="C16" s="58"/>
      <c r="D16" s="58"/>
      <c r="E16" s="58"/>
      <c r="F16" s="58"/>
      <c r="G16" s="58"/>
      <c r="H16" s="56"/>
      <c r="I16" s="56"/>
      <c r="J16" s="57"/>
      <c r="K16" s="57"/>
      <c r="L16" s="57"/>
      <c r="M16" s="56"/>
      <c r="N16" s="56"/>
      <c r="O16" s="56"/>
      <c r="P16" s="56"/>
      <c r="Q16" s="56"/>
      <c r="R16" s="56"/>
      <c r="S16" s="56"/>
      <c r="T16" s="56"/>
      <c r="U16" s="56"/>
    </row>
    <row r="17" spans="2:25" s="18" customFormat="1" ht="15" customHeight="1">
      <c r="B17" s="59"/>
      <c r="C17" s="59"/>
      <c r="D17" s="59"/>
      <c r="E17" s="59"/>
      <c r="F17" s="59"/>
      <c r="G17" s="59"/>
      <c r="H17" s="56"/>
      <c r="I17" s="56"/>
      <c r="J17" s="57"/>
      <c r="K17" s="57"/>
      <c r="L17" s="57"/>
      <c r="M17" s="56"/>
      <c r="N17" s="56"/>
      <c r="O17" s="56"/>
      <c r="P17" s="56"/>
      <c r="Q17" s="56"/>
      <c r="R17" s="56"/>
      <c r="S17" s="56"/>
      <c r="T17" s="56"/>
      <c r="U17" s="17"/>
      <c r="V17" s="20"/>
      <c r="W17" s="20"/>
      <c r="X17" s="20"/>
      <c r="Y17" s="20"/>
    </row>
    <row r="18" spans="2:25" s="16" customFormat="1" ht="15">
      <c r="B18" s="59"/>
      <c r="C18" s="58"/>
      <c r="D18" s="58"/>
      <c r="E18" s="58"/>
      <c r="F18" s="58"/>
      <c r="G18" s="58"/>
      <c r="H18" s="56"/>
      <c r="I18" s="56"/>
      <c r="J18" s="57"/>
      <c r="K18" s="57"/>
      <c r="L18" s="57"/>
      <c r="M18" s="56"/>
      <c r="N18" s="56"/>
      <c r="O18" s="56"/>
      <c r="P18" s="56"/>
      <c r="Q18" s="56"/>
      <c r="R18" s="56"/>
      <c r="S18" s="56"/>
      <c r="T18" s="56"/>
      <c r="U18" s="56"/>
    </row>
    <row r="19" spans="2:25" s="16" customFormat="1" ht="15">
      <c r="B19" s="58"/>
      <c r="G19" s="60"/>
      <c r="H19" s="56"/>
      <c r="I19" s="56"/>
      <c r="J19" s="60"/>
      <c r="K19" s="60"/>
      <c r="L19" s="60"/>
      <c r="M19" s="56"/>
      <c r="N19" s="56"/>
      <c r="O19" s="56"/>
      <c r="P19" s="56"/>
      <c r="Q19" s="56"/>
      <c r="R19" s="56"/>
      <c r="S19" s="56"/>
      <c r="T19" s="56"/>
      <c r="U19" s="56"/>
    </row>
    <row r="20" spans="2:25" s="16" customFormat="1" ht="15">
      <c r="G20" s="61"/>
      <c r="H20" s="56"/>
      <c r="I20" s="56"/>
      <c r="J20" s="61"/>
      <c r="K20" s="61"/>
      <c r="L20" s="61"/>
      <c r="M20" s="56"/>
      <c r="N20" s="56"/>
      <c r="O20" s="56"/>
      <c r="P20" s="56"/>
      <c r="Q20" s="56"/>
      <c r="R20" s="56"/>
      <c r="S20" s="56"/>
      <c r="T20" s="56"/>
      <c r="U20" s="56"/>
    </row>
    <row r="21" spans="2:25" s="16" customFormat="1" ht="15">
      <c r="G21" s="60"/>
      <c r="H21" s="56"/>
      <c r="I21" s="56"/>
      <c r="J21" s="60"/>
      <c r="K21" s="60"/>
      <c r="L21" s="60"/>
      <c r="M21" s="56"/>
      <c r="N21" s="56"/>
      <c r="O21" s="56"/>
      <c r="P21" s="56"/>
      <c r="Q21" s="56"/>
      <c r="R21" s="56"/>
      <c r="S21" s="56"/>
      <c r="T21" s="56"/>
      <c r="U21" s="56"/>
    </row>
    <row r="22" spans="2:25" s="16" customFormat="1" ht="1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2:25" s="16" customFormat="1" ht="15">
      <c r="U23" s="56"/>
    </row>
    <row r="24" spans="2:25" s="16" customFormat="1"/>
    <row r="25" spans="2:25" s="16" customFormat="1"/>
    <row r="26" spans="2:25" s="16" customFormat="1"/>
    <row r="27" spans="2:25" s="16" customFormat="1"/>
    <row r="28" spans="2:25" s="16" customFormat="1"/>
    <row r="29" spans="2:25" s="16" customFormat="1"/>
    <row r="30" spans="2:25" s="16" customFormat="1"/>
    <row r="31" spans="2:25" s="16" customFormat="1"/>
    <row r="32" spans="2:25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  <row r="536" s="16" customFormat="1"/>
    <row r="537" s="16" customFormat="1"/>
    <row r="538" s="16" customFormat="1"/>
    <row r="539" s="16" customFormat="1"/>
    <row r="540" s="16" customFormat="1"/>
    <row r="541" s="16" customFormat="1"/>
    <row r="542" s="16" customFormat="1"/>
    <row r="543" s="16" customFormat="1"/>
    <row r="544" s="16" customFormat="1"/>
    <row r="545" s="16" customFormat="1"/>
    <row r="546" s="16" customFormat="1"/>
    <row r="547" s="16" customFormat="1"/>
    <row r="548" s="16" customFormat="1"/>
    <row r="549" s="16" customFormat="1"/>
    <row r="550" s="16" customFormat="1"/>
    <row r="551" s="16" customFormat="1"/>
    <row r="552" s="16" customFormat="1"/>
    <row r="553" s="16" customFormat="1"/>
    <row r="554" s="16" customFormat="1"/>
    <row r="555" s="16" customFormat="1"/>
    <row r="556" s="16" customFormat="1"/>
    <row r="557" s="16" customFormat="1"/>
    <row r="558" s="16" customFormat="1"/>
    <row r="559" s="16" customFormat="1"/>
    <row r="560" s="16" customFormat="1"/>
    <row r="561" s="16" customFormat="1"/>
    <row r="562" s="16" customFormat="1"/>
    <row r="563" s="16" customFormat="1"/>
    <row r="564" s="16" customFormat="1"/>
    <row r="565" s="16" customFormat="1"/>
    <row r="566" s="16" customFormat="1"/>
    <row r="567" s="16" customFormat="1"/>
    <row r="568" s="16" customFormat="1"/>
    <row r="569" s="16" customFormat="1"/>
    <row r="570" s="16" customFormat="1"/>
    <row r="571" s="16" customFormat="1"/>
    <row r="572" s="16" customFormat="1"/>
    <row r="573" s="16" customFormat="1"/>
    <row r="574" s="16" customFormat="1"/>
    <row r="575" s="16" customFormat="1"/>
    <row r="576" s="16" customFormat="1"/>
    <row r="577" s="16" customFormat="1"/>
    <row r="578" s="16" customFormat="1"/>
    <row r="579" s="16" customFormat="1"/>
    <row r="580" s="16" customFormat="1"/>
    <row r="581" s="16" customFormat="1"/>
    <row r="582" s="16" customFormat="1"/>
    <row r="583" s="16" customFormat="1"/>
    <row r="584" s="16" customFormat="1"/>
    <row r="585" s="16" customFormat="1"/>
    <row r="586" s="16" customFormat="1"/>
    <row r="587" s="16" customFormat="1"/>
    <row r="588" s="16" customFormat="1"/>
    <row r="589" s="16" customFormat="1"/>
    <row r="590" s="16" customFormat="1"/>
    <row r="591" s="16" customFormat="1"/>
    <row r="592" s="16" customFormat="1"/>
    <row r="593" s="16" customFormat="1"/>
    <row r="594" s="16" customFormat="1"/>
    <row r="595" s="16" customFormat="1"/>
    <row r="596" s="16" customFormat="1"/>
    <row r="597" s="16" customFormat="1"/>
    <row r="598" s="16" customFormat="1"/>
    <row r="599" s="16" customFormat="1"/>
    <row r="600" s="16" customFormat="1"/>
    <row r="601" s="16" customFormat="1"/>
    <row r="602" s="16" customFormat="1"/>
    <row r="603" s="16" customFormat="1"/>
    <row r="604" s="16" customFormat="1"/>
    <row r="605" s="16" customFormat="1"/>
    <row r="606" s="16" customFormat="1"/>
    <row r="607" s="16" customFormat="1"/>
    <row r="608" s="16" customFormat="1"/>
    <row r="609" s="16" customFormat="1"/>
    <row r="610" s="16" customFormat="1"/>
    <row r="611" s="16" customFormat="1"/>
    <row r="612" s="16" customFormat="1"/>
    <row r="613" s="16" customFormat="1"/>
    <row r="614" s="16" customFormat="1"/>
    <row r="615" s="16" customFormat="1"/>
    <row r="616" s="16" customFormat="1"/>
    <row r="617" s="16" customFormat="1"/>
    <row r="618" s="16" customFormat="1"/>
    <row r="619" s="16" customFormat="1"/>
    <row r="620" s="16" customFormat="1"/>
    <row r="621" s="16" customFormat="1"/>
    <row r="622" s="16" customFormat="1"/>
    <row r="623" s="16" customFormat="1"/>
    <row r="624" s="16" customFormat="1"/>
    <row r="625" s="16" customFormat="1"/>
    <row r="626" s="16" customFormat="1"/>
    <row r="627" s="16" customFormat="1"/>
    <row r="628" s="16" customFormat="1"/>
    <row r="629" s="16" customFormat="1"/>
    <row r="630" s="16" customFormat="1"/>
    <row r="631" s="16" customFormat="1"/>
    <row r="632" s="16" customFormat="1"/>
    <row r="633" s="16" customFormat="1"/>
    <row r="634" s="16" customFormat="1"/>
    <row r="635" s="16" customFormat="1"/>
    <row r="636" s="16" customFormat="1"/>
    <row r="637" s="16" customFormat="1"/>
    <row r="638" s="16" customFormat="1"/>
    <row r="639" s="16" customFormat="1"/>
    <row r="640" s="16" customFormat="1"/>
    <row r="641" s="16" customFormat="1"/>
    <row r="642" s="16" customFormat="1"/>
    <row r="643" s="16" customFormat="1"/>
    <row r="644" s="16" customFormat="1"/>
    <row r="645" s="16" customFormat="1"/>
    <row r="646" s="16" customFormat="1"/>
    <row r="647" s="16" customFormat="1"/>
    <row r="648" s="16" customFormat="1"/>
    <row r="649" s="16" customFormat="1"/>
    <row r="650" s="16" customFormat="1"/>
    <row r="651" s="16" customFormat="1"/>
    <row r="652" s="16" customFormat="1"/>
    <row r="653" s="16" customFormat="1"/>
    <row r="654" s="16" customFormat="1"/>
    <row r="655" s="16" customFormat="1"/>
    <row r="656" s="16" customFormat="1"/>
    <row r="657" s="16" customFormat="1"/>
    <row r="658" s="16" customFormat="1"/>
    <row r="659" s="16" customFormat="1"/>
    <row r="660" s="16" customFormat="1"/>
    <row r="661" s="16" customFormat="1"/>
    <row r="662" s="16" customFormat="1"/>
    <row r="663" s="16" customFormat="1"/>
    <row r="664" s="16" customFormat="1"/>
    <row r="665" s="16" customFormat="1"/>
    <row r="666" s="16" customFormat="1"/>
    <row r="667" s="16" customFormat="1"/>
    <row r="668" s="16" customFormat="1"/>
    <row r="669" s="16" customFormat="1"/>
    <row r="670" s="16" customFormat="1"/>
    <row r="671" s="16" customFormat="1"/>
    <row r="672" s="16" customFormat="1"/>
    <row r="673" s="16" customFormat="1"/>
    <row r="674" s="16" customFormat="1"/>
    <row r="675" s="16" customFormat="1"/>
    <row r="676" s="16" customFormat="1"/>
    <row r="677" s="16" customFormat="1"/>
    <row r="678" s="16" customFormat="1"/>
    <row r="679" s="16" customFormat="1"/>
    <row r="680" s="16" customFormat="1"/>
    <row r="681" s="16" customFormat="1"/>
    <row r="682" s="16" customFormat="1"/>
    <row r="683" s="16" customFormat="1"/>
    <row r="684" s="16" customFormat="1"/>
    <row r="685" s="16" customFormat="1"/>
    <row r="686" s="16" customFormat="1"/>
    <row r="687" s="16" customFormat="1"/>
    <row r="688" s="16" customFormat="1"/>
    <row r="689" s="16" customFormat="1"/>
    <row r="690" s="16" customFormat="1"/>
    <row r="691" s="16" customFormat="1"/>
    <row r="692" s="16" customFormat="1"/>
    <row r="693" s="16" customFormat="1"/>
    <row r="694" s="16" customFormat="1"/>
    <row r="695" s="16" customFormat="1"/>
    <row r="696" s="16" customFormat="1"/>
    <row r="697" s="16" customFormat="1"/>
    <row r="698" s="16" customFormat="1"/>
    <row r="699" s="16" customFormat="1"/>
    <row r="700" s="16" customFormat="1"/>
    <row r="701" s="16" customFormat="1"/>
    <row r="702" s="16" customFormat="1"/>
    <row r="703" s="16" customFormat="1"/>
    <row r="704" s="16" customFormat="1"/>
    <row r="705" s="16" customFormat="1"/>
    <row r="706" s="16" customFormat="1"/>
    <row r="707" s="16" customFormat="1"/>
    <row r="708" s="16" customFormat="1"/>
    <row r="709" s="16" customFormat="1"/>
    <row r="710" s="16" customFormat="1"/>
    <row r="711" s="16" customFormat="1"/>
    <row r="712" s="16" customFormat="1"/>
    <row r="713" s="16" customFormat="1"/>
    <row r="714" s="16" customFormat="1"/>
    <row r="715" s="16" customFormat="1"/>
    <row r="716" s="16" customFormat="1"/>
    <row r="717" s="16" customFormat="1"/>
    <row r="718" s="16" customFormat="1"/>
    <row r="719" s="16" customFormat="1"/>
    <row r="720" s="16" customFormat="1"/>
    <row r="721" s="16" customFormat="1"/>
    <row r="722" s="16" customFormat="1"/>
    <row r="723" s="16" customFormat="1"/>
    <row r="724" s="16" customFormat="1"/>
    <row r="725" s="16" customFormat="1"/>
    <row r="726" s="16" customFormat="1"/>
    <row r="727" s="16" customFormat="1"/>
    <row r="728" s="16" customFormat="1"/>
  </sheetData>
  <mergeCells count="10">
    <mergeCell ref="B15:G15"/>
    <mergeCell ref="B2:B4"/>
    <mergeCell ref="C2:G2"/>
    <mergeCell ref="H2:L2"/>
    <mergeCell ref="M2:Q2"/>
    <mergeCell ref="R2:T2"/>
    <mergeCell ref="C3:G3"/>
    <mergeCell ref="H3:L3"/>
    <mergeCell ref="M3:Q3"/>
    <mergeCell ref="R3:T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2"/>
  <sheetViews>
    <sheetView showGridLines="0" zoomScaleNormal="100" zoomScaleSheetLayoutView="85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66" customWidth="1"/>
    <col min="13" max="13" width="12.125" style="7" customWidth="1"/>
    <col min="14" max="15" width="13.625" style="7" customWidth="1"/>
    <col min="16" max="16" width="13.625" style="66" customWidth="1"/>
    <col min="17" max="25" width="13.625" style="7" customWidth="1"/>
    <col min="26" max="16384" width="9" style="7"/>
  </cols>
  <sheetData>
    <row r="1" spans="1:494" s="63" customFormat="1" ht="50.25" customHeight="1" thickBot="1">
      <c r="A1" s="5" t="s">
        <v>179</v>
      </c>
      <c r="B1" s="5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  <c r="LZ1" s="62"/>
      <c r="MA1" s="62"/>
      <c r="MB1" s="62"/>
      <c r="MC1" s="62"/>
      <c r="MD1" s="62"/>
      <c r="ME1" s="62"/>
      <c r="MF1" s="62"/>
      <c r="MG1" s="62"/>
      <c r="MH1" s="62"/>
      <c r="MI1" s="62"/>
      <c r="MJ1" s="62"/>
      <c r="MK1" s="62"/>
      <c r="ML1" s="62"/>
      <c r="MM1" s="62"/>
      <c r="MN1" s="62"/>
      <c r="MO1" s="62"/>
      <c r="MP1" s="62"/>
      <c r="MQ1" s="62"/>
      <c r="MR1" s="62"/>
      <c r="MS1" s="62"/>
      <c r="MT1" s="62"/>
      <c r="MU1" s="62"/>
      <c r="MV1" s="62"/>
      <c r="MW1" s="62"/>
      <c r="MX1" s="62"/>
      <c r="MY1" s="62"/>
      <c r="MZ1" s="62"/>
      <c r="NA1" s="62"/>
      <c r="NB1" s="62"/>
      <c r="NC1" s="62"/>
      <c r="ND1" s="62"/>
      <c r="NE1" s="62"/>
      <c r="NF1" s="62"/>
      <c r="NG1" s="62"/>
      <c r="NH1" s="62"/>
      <c r="NI1" s="62"/>
      <c r="NJ1" s="62"/>
      <c r="NK1" s="62"/>
      <c r="NL1" s="62"/>
      <c r="NM1" s="62"/>
      <c r="NN1" s="62"/>
      <c r="NO1" s="62"/>
      <c r="NP1" s="62"/>
      <c r="NQ1" s="62"/>
      <c r="NR1" s="62"/>
      <c r="NS1" s="62"/>
      <c r="NT1" s="62"/>
      <c r="NU1" s="62"/>
      <c r="NV1" s="62"/>
      <c r="NW1" s="62"/>
      <c r="NX1" s="62"/>
      <c r="NY1" s="62"/>
      <c r="NZ1" s="62"/>
      <c r="OA1" s="62"/>
      <c r="OB1" s="62"/>
      <c r="OC1" s="62"/>
      <c r="OD1" s="62"/>
      <c r="OE1" s="62"/>
      <c r="OF1" s="62"/>
      <c r="OG1" s="62"/>
      <c r="OH1" s="62"/>
      <c r="OI1" s="62"/>
      <c r="OJ1" s="62"/>
      <c r="OK1" s="62"/>
      <c r="OL1" s="62"/>
      <c r="OM1" s="62"/>
      <c r="ON1" s="62"/>
      <c r="OO1" s="62"/>
      <c r="OP1" s="62"/>
      <c r="OQ1" s="62"/>
      <c r="OR1" s="62"/>
      <c r="OS1" s="62"/>
      <c r="OT1" s="62"/>
      <c r="OU1" s="62"/>
      <c r="OV1" s="62"/>
      <c r="OW1" s="62"/>
      <c r="OX1" s="62"/>
      <c r="OY1" s="62"/>
      <c r="OZ1" s="62"/>
      <c r="PA1" s="62"/>
      <c r="PB1" s="62"/>
      <c r="PC1" s="62"/>
      <c r="PD1" s="62"/>
      <c r="PE1" s="62"/>
      <c r="PF1" s="62"/>
      <c r="PG1" s="62"/>
      <c r="PH1" s="62"/>
      <c r="PI1" s="62"/>
      <c r="PJ1" s="62"/>
      <c r="PK1" s="62"/>
      <c r="PL1" s="62"/>
      <c r="PM1" s="62"/>
      <c r="PN1" s="62"/>
      <c r="PO1" s="62"/>
      <c r="PP1" s="62"/>
      <c r="PQ1" s="62"/>
      <c r="PR1" s="62"/>
      <c r="PS1" s="62"/>
      <c r="PT1" s="62"/>
      <c r="PU1" s="62"/>
      <c r="PV1" s="62"/>
      <c r="PW1" s="62"/>
      <c r="PX1" s="62"/>
      <c r="PY1" s="62"/>
      <c r="PZ1" s="62"/>
      <c r="QA1" s="62"/>
      <c r="QB1" s="62"/>
      <c r="QC1" s="62"/>
      <c r="QD1" s="62"/>
      <c r="QE1" s="62"/>
      <c r="QF1" s="62"/>
      <c r="QG1" s="62"/>
      <c r="QH1" s="62"/>
      <c r="QI1" s="62"/>
      <c r="QJ1" s="62"/>
      <c r="QK1" s="62"/>
      <c r="QL1" s="62"/>
      <c r="QM1" s="62"/>
      <c r="QN1" s="62"/>
      <c r="QO1" s="62"/>
      <c r="QP1" s="62"/>
      <c r="QQ1" s="62"/>
      <c r="QR1" s="62"/>
      <c r="QS1" s="62"/>
      <c r="QT1" s="62"/>
      <c r="QU1" s="62"/>
      <c r="QV1" s="62"/>
      <c r="QW1" s="62"/>
      <c r="QX1" s="62"/>
      <c r="QY1" s="62"/>
      <c r="QZ1" s="62"/>
      <c r="RA1" s="62"/>
      <c r="RB1" s="62"/>
      <c r="RC1" s="62"/>
      <c r="RD1" s="62"/>
      <c r="RE1" s="62"/>
      <c r="RF1" s="62"/>
      <c r="RG1" s="62"/>
      <c r="RH1" s="62"/>
      <c r="RI1" s="62"/>
      <c r="RJ1" s="62"/>
      <c r="RK1" s="62"/>
      <c r="RL1" s="62"/>
      <c r="RM1" s="62"/>
      <c r="RN1" s="62"/>
      <c r="RO1" s="62"/>
      <c r="RP1" s="62"/>
      <c r="RQ1" s="62"/>
      <c r="RR1" s="62"/>
      <c r="RS1" s="62"/>
      <c r="RT1" s="62"/>
      <c r="RU1" s="62"/>
      <c r="RV1" s="62"/>
      <c r="RW1" s="62"/>
      <c r="RX1" s="62"/>
      <c r="RY1" s="62"/>
      <c r="RZ1" s="62"/>
    </row>
    <row r="2" spans="1:494" s="63" customFormat="1" ht="24.95" customHeight="1">
      <c r="A2" s="8" t="s">
        <v>121</v>
      </c>
      <c r="B2" s="538">
        <v>2012</v>
      </c>
      <c r="C2" s="538"/>
      <c r="D2" s="538"/>
      <c r="E2" s="539"/>
      <c r="F2" s="538">
        <v>2013</v>
      </c>
      <c r="G2" s="538"/>
      <c r="H2" s="538"/>
      <c r="I2" s="538"/>
      <c r="J2" s="537">
        <v>2014</v>
      </c>
      <c r="K2" s="538"/>
      <c r="L2" s="538"/>
      <c r="M2" s="539"/>
      <c r="N2" s="541">
        <v>2015</v>
      </c>
      <c r="O2" s="541"/>
      <c r="P2" s="541"/>
      <c r="Q2" s="542"/>
      <c r="R2" s="537">
        <v>2016</v>
      </c>
      <c r="S2" s="538"/>
      <c r="T2" s="538"/>
      <c r="U2" s="539"/>
      <c r="V2" s="537">
        <v>2017</v>
      </c>
      <c r="W2" s="538"/>
      <c r="X2" s="538"/>
      <c r="Y2" s="539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</row>
    <row r="3" spans="1:494" ht="34.5" customHeight="1" thickBot="1">
      <c r="A3" s="9" t="s">
        <v>105</v>
      </c>
      <c r="B3" s="64" t="s">
        <v>122</v>
      </c>
      <c r="C3" s="64" t="s">
        <v>123</v>
      </c>
      <c r="D3" s="64" t="s">
        <v>124</v>
      </c>
      <c r="E3" s="112" t="s">
        <v>125</v>
      </c>
      <c r="F3" s="64" t="s">
        <v>122</v>
      </c>
      <c r="G3" s="64" t="s">
        <v>123</v>
      </c>
      <c r="H3" s="64" t="s">
        <v>124</v>
      </c>
      <c r="I3" s="105" t="s">
        <v>125</v>
      </c>
      <c r="J3" s="113" t="s">
        <v>122</v>
      </c>
      <c r="K3" s="64" t="s">
        <v>123</v>
      </c>
      <c r="L3" s="64" t="s">
        <v>124</v>
      </c>
      <c r="M3" s="114" t="s">
        <v>204</v>
      </c>
      <c r="N3" s="64" t="s">
        <v>122</v>
      </c>
      <c r="O3" s="64" t="s">
        <v>123</v>
      </c>
      <c r="P3" s="64" t="s">
        <v>124</v>
      </c>
      <c r="Q3" s="112" t="s">
        <v>125</v>
      </c>
      <c r="R3" s="64" t="s">
        <v>122</v>
      </c>
      <c r="S3" s="64" t="s">
        <v>123</v>
      </c>
      <c r="T3" s="64" t="s">
        <v>124</v>
      </c>
      <c r="U3" s="112" t="s">
        <v>125</v>
      </c>
      <c r="V3" s="64" t="s">
        <v>122</v>
      </c>
      <c r="W3" s="64" t="s">
        <v>123</v>
      </c>
      <c r="X3" s="64" t="s">
        <v>124</v>
      </c>
      <c r="Y3" s="112" t="s">
        <v>125</v>
      </c>
    </row>
    <row r="4" spans="1:494" s="12" customFormat="1" ht="33.75" customHeight="1" thickBot="1">
      <c r="A4" s="99" t="s">
        <v>4</v>
      </c>
      <c r="B4" s="100"/>
      <c r="C4" s="100"/>
      <c r="D4" s="100"/>
      <c r="E4" s="116"/>
      <c r="F4" s="100"/>
      <c r="G4" s="100"/>
      <c r="H4" s="100"/>
      <c r="I4" s="106"/>
      <c r="J4" s="115"/>
      <c r="K4" s="101"/>
      <c r="L4" s="101"/>
      <c r="M4" s="116"/>
      <c r="N4" s="100"/>
      <c r="O4" s="100"/>
      <c r="P4" s="101"/>
      <c r="Q4" s="116"/>
      <c r="R4" s="100"/>
      <c r="S4" s="100"/>
      <c r="T4" s="100"/>
      <c r="U4" s="116"/>
      <c r="V4" s="100"/>
      <c r="W4" s="100"/>
      <c r="X4" s="100"/>
      <c r="Y4" s="116"/>
    </row>
    <row r="5" spans="1:494" s="12" customFormat="1" ht="20.100000000000001" customHeight="1">
      <c r="A5" s="85" t="s">
        <v>5</v>
      </c>
      <c r="B5" s="69">
        <f>415.308</f>
        <v>415.30799999999999</v>
      </c>
      <c r="C5" s="69">
        <f>419.479</f>
        <v>419.47899999999998</v>
      </c>
      <c r="D5" s="96">
        <f>(425068)*0.001</f>
        <v>425.06799999999998</v>
      </c>
      <c r="E5" s="393">
        <f>(420060)*0.001</f>
        <v>420.06</v>
      </c>
      <c r="F5" s="96">
        <f>(419894)*0.001</f>
        <v>419.89400000000001</v>
      </c>
      <c r="G5" s="96">
        <f>(418521)*0.001</f>
        <v>418.52100000000002</v>
      </c>
      <c r="H5" s="96">
        <f>(409736)*0.001</f>
        <v>409.73599999999999</v>
      </c>
      <c r="I5" s="394">
        <f>(407579)*0.001</f>
        <v>407.57900000000001</v>
      </c>
      <c r="J5" s="395">
        <f>(395393)*0.001</f>
        <v>395.39300000000003</v>
      </c>
      <c r="K5" s="69">
        <v>384.8</v>
      </c>
      <c r="L5" s="69">
        <v>417</v>
      </c>
      <c r="M5" s="117">
        <v>421.1</v>
      </c>
      <c r="N5" s="69">
        <v>416.6</v>
      </c>
      <c r="O5" s="69">
        <v>401.1</v>
      </c>
      <c r="P5" s="69">
        <v>377</v>
      </c>
      <c r="Q5" s="278">
        <v>371</v>
      </c>
      <c r="R5" s="368">
        <v>356.7</v>
      </c>
      <c r="S5" s="368">
        <v>353.3</v>
      </c>
      <c r="T5" s="368">
        <v>350.4</v>
      </c>
      <c r="U5" s="278">
        <v>350.9</v>
      </c>
      <c r="V5" s="368">
        <v>342.2</v>
      </c>
      <c r="W5" s="368"/>
      <c r="X5" s="368"/>
      <c r="Y5" s="278"/>
    </row>
    <row r="6" spans="1:494" s="12" customFormat="1" ht="20.100000000000001" customHeight="1">
      <c r="A6" s="85" t="s">
        <v>6</v>
      </c>
      <c r="B6" s="69">
        <f>258.7</f>
        <v>258.7</v>
      </c>
      <c r="C6" s="69">
        <f>258.506</f>
        <v>258.50599999999997</v>
      </c>
      <c r="D6" s="96">
        <f>(257043)*0.001</f>
        <v>257.04300000000001</v>
      </c>
      <c r="E6" s="393">
        <f>(276407)*0.001</f>
        <v>276.40699999999998</v>
      </c>
      <c r="F6" s="96">
        <f>(266252)*0.001</f>
        <v>266.25200000000001</v>
      </c>
      <c r="G6" s="96">
        <f>(265011)*0.001</f>
        <v>265.01100000000002</v>
      </c>
      <c r="H6" s="96">
        <f>(252063)*0.001</f>
        <v>252.06300000000002</v>
      </c>
      <c r="I6" s="394">
        <f>(251152)*0.001</f>
        <v>251.15200000000002</v>
      </c>
      <c r="J6" s="395">
        <f>(248178)*0.001</f>
        <v>248.178</v>
      </c>
      <c r="K6" s="68">
        <v>3010.6</v>
      </c>
      <c r="L6" s="68">
        <v>2933.8</v>
      </c>
      <c r="M6" s="117">
        <v>2714.9</v>
      </c>
      <c r="N6" s="69">
        <v>2855.8</v>
      </c>
      <c r="O6" s="69">
        <v>2541.1999999999998</v>
      </c>
      <c r="P6" s="68">
        <v>2535.1999999999998</v>
      </c>
      <c r="Q6" s="278">
        <v>2548.6</v>
      </c>
      <c r="R6" s="368">
        <v>3002.2</v>
      </c>
      <c r="S6" s="368">
        <v>2931</v>
      </c>
      <c r="T6" s="368">
        <v>2882.8</v>
      </c>
      <c r="U6" s="278">
        <v>2964.3</v>
      </c>
      <c r="V6" s="368">
        <v>2885.9</v>
      </c>
      <c r="W6" s="368"/>
      <c r="X6" s="368"/>
      <c r="Y6" s="278"/>
    </row>
    <row r="7" spans="1:494" s="12" customFormat="1" ht="20.100000000000001" customHeight="1">
      <c r="A7" s="85" t="s">
        <v>9</v>
      </c>
      <c r="B7" s="69">
        <f>2422.989</f>
        <v>2422.989</v>
      </c>
      <c r="C7" s="69">
        <f>2575.456</f>
        <v>2575.4560000000001</v>
      </c>
      <c r="D7" s="69">
        <f>(2575456)*0.001</f>
        <v>2575.4560000000001</v>
      </c>
      <c r="E7" s="117">
        <f>(2568033)*0.001</f>
        <v>2568.0329999999999</v>
      </c>
      <c r="F7" s="69">
        <f>(2568033)*0.001</f>
        <v>2568.0329999999999</v>
      </c>
      <c r="G7" s="69">
        <f>(2568033)*0.001</f>
        <v>2568.0329999999999</v>
      </c>
      <c r="H7" s="69">
        <f>(2637594)*0.001</f>
        <v>2637.5940000000001</v>
      </c>
      <c r="I7" s="117">
        <f>(2602804)*0.001</f>
        <v>2602.8040000000001</v>
      </c>
      <c r="J7" s="69">
        <f>(2602804)*0.001</f>
        <v>2602.8040000000001</v>
      </c>
      <c r="K7" s="68">
        <v>11735.5</v>
      </c>
      <c r="L7" s="68">
        <v>11735.5</v>
      </c>
      <c r="M7" s="117">
        <v>10585.3</v>
      </c>
      <c r="N7" s="69">
        <v>10831.2</v>
      </c>
      <c r="O7" s="69">
        <v>10606.4</v>
      </c>
      <c r="P7" s="68">
        <v>10606.4</v>
      </c>
      <c r="Q7" s="278">
        <v>10606.4</v>
      </c>
      <c r="R7" s="368">
        <v>11675.3</v>
      </c>
      <c r="S7" s="368">
        <v>10975.2</v>
      </c>
      <c r="T7" s="368">
        <v>10975.3</v>
      </c>
      <c r="U7" s="278">
        <v>10975.4</v>
      </c>
      <c r="V7" s="368">
        <v>10975.4</v>
      </c>
      <c r="W7" s="368"/>
      <c r="X7" s="368"/>
      <c r="Y7" s="278"/>
    </row>
    <row r="8" spans="1:494" s="12" customFormat="1" ht="20.100000000000001" customHeight="1">
      <c r="A8" s="85" t="s">
        <v>193</v>
      </c>
      <c r="B8" s="70">
        <f>0</f>
        <v>0</v>
      </c>
      <c r="C8" s="70">
        <v>0</v>
      </c>
      <c r="D8" s="70">
        <f>0</f>
        <v>0</v>
      </c>
      <c r="E8" s="123">
        <v>0</v>
      </c>
      <c r="F8" s="70">
        <f>0</f>
        <v>0</v>
      </c>
      <c r="G8" s="70">
        <f>0</f>
        <v>0</v>
      </c>
      <c r="H8" s="70">
        <f>0</f>
        <v>0</v>
      </c>
      <c r="I8" s="107">
        <f>0</f>
        <v>0</v>
      </c>
      <c r="J8" s="118">
        <v>0</v>
      </c>
      <c r="K8" s="68">
        <v>4482</v>
      </c>
      <c r="L8" s="68">
        <v>4331.8999999999996</v>
      </c>
      <c r="M8" s="117">
        <v>4255.8</v>
      </c>
      <c r="N8" s="72">
        <v>4002.2</v>
      </c>
      <c r="O8" s="72">
        <v>3944.6</v>
      </c>
      <c r="P8" s="68">
        <v>3791.6</v>
      </c>
      <c r="Q8" s="278">
        <v>3638.5</v>
      </c>
      <c r="R8" s="369">
        <v>3488.7</v>
      </c>
      <c r="S8" s="369">
        <v>3337.3</v>
      </c>
      <c r="T8" s="369">
        <v>3184.2</v>
      </c>
      <c r="U8" s="278">
        <v>3031.2</v>
      </c>
      <c r="V8" s="369">
        <v>2883.1</v>
      </c>
      <c r="W8" s="369"/>
      <c r="X8" s="369"/>
      <c r="Y8" s="278"/>
    </row>
    <row r="9" spans="1:494" s="12" customFormat="1" ht="20.100000000000001" customHeight="1">
      <c r="A9" s="85" t="s">
        <v>56</v>
      </c>
      <c r="B9" s="69">
        <f>840</f>
        <v>840</v>
      </c>
      <c r="C9" s="96">
        <f>(840000)*0.001</f>
        <v>840</v>
      </c>
      <c r="D9" s="96">
        <f>(840000)*0.001</f>
        <v>840</v>
      </c>
      <c r="E9" s="393">
        <f>(847800)*0.001</f>
        <v>847.80000000000007</v>
      </c>
      <c r="F9" s="96">
        <f>(847800)*0.001</f>
        <v>847.80000000000007</v>
      </c>
      <c r="G9" s="96">
        <f>(847800)*0.001</f>
        <v>847.80000000000007</v>
      </c>
      <c r="H9" s="96">
        <f>(847800)*0.001</f>
        <v>847.80000000000007</v>
      </c>
      <c r="I9" s="394">
        <f>(890800)*0.001</f>
        <v>890.80000000000007</v>
      </c>
      <c r="J9" s="395">
        <f>(890800)*0.001</f>
        <v>890.80000000000007</v>
      </c>
      <c r="K9" s="73">
        <v>890.8</v>
      </c>
      <c r="L9" s="73">
        <v>890.8</v>
      </c>
      <c r="M9" s="117">
        <v>2085.9</v>
      </c>
      <c r="N9" s="69">
        <v>1783.7</v>
      </c>
      <c r="O9" s="69">
        <v>2092.6999999999998</v>
      </c>
      <c r="P9" s="73">
        <v>2086.6</v>
      </c>
      <c r="Q9" s="278">
        <v>2080.6</v>
      </c>
      <c r="R9" s="368">
        <v>2074.6</v>
      </c>
      <c r="S9" s="368">
        <v>2068.6</v>
      </c>
      <c r="T9" s="368">
        <v>2062.5</v>
      </c>
      <c r="U9" s="278">
        <v>2056.5</v>
      </c>
      <c r="V9" s="368">
        <v>2050.5</v>
      </c>
      <c r="W9" s="368"/>
      <c r="X9" s="368"/>
      <c r="Y9" s="278"/>
    </row>
    <row r="10" spans="1:494" s="12" customFormat="1" ht="20.100000000000001" customHeight="1">
      <c r="A10" s="85" t="s">
        <v>61</v>
      </c>
      <c r="B10" s="69">
        <f>69.466</f>
        <v>69.465999999999994</v>
      </c>
      <c r="C10" s="96">
        <f>(69627)*0.001</f>
        <v>69.626999999999995</v>
      </c>
      <c r="D10" s="96">
        <f>(68459)*0.001</f>
        <v>68.459000000000003</v>
      </c>
      <c r="E10" s="393">
        <f>(81380)*0.001</f>
        <v>81.38</v>
      </c>
      <c r="F10" s="96">
        <f>(82841)*0.001</f>
        <v>82.841000000000008</v>
      </c>
      <c r="G10" s="96">
        <f>(83804)*0.001</f>
        <v>83.804000000000002</v>
      </c>
      <c r="H10" s="96">
        <f>(115337)*0.001</f>
        <v>115.337</v>
      </c>
      <c r="I10" s="394">
        <f>(137401)*0.001</f>
        <v>137.40100000000001</v>
      </c>
      <c r="J10" s="395">
        <f>(136697)*0.001</f>
        <v>136.697</v>
      </c>
      <c r="K10" s="68">
        <v>2360.6</v>
      </c>
      <c r="L10" s="68">
        <v>2624.2</v>
      </c>
      <c r="M10" s="117">
        <v>2591.4</v>
      </c>
      <c r="N10" s="69">
        <v>2527.5</v>
      </c>
      <c r="O10" s="69">
        <v>2525.8000000000002</v>
      </c>
      <c r="P10" s="68">
        <v>2464.1999999999998</v>
      </c>
      <c r="Q10" s="278">
        <v>2422.1999999999998</v>
      </c>
      <c r="R10" s="368">
        <v>2988.7</v>
      </c>
      <c r="S10" s="368">
        <v>3903</v>
      </c>
      <c r="T10" s="368">
        <v>3769.5</v>
      </c>
      <c r="U10" s="278">
        <v>3656.2</v>
      </c>
      <c r="V10" s="368">
        <v>3540.5</v>
      </c>
      <c r="W10" s="368"/>
      <c r="X10" s="368"/>
      <c r="Y10" s="278"/>
    </row>
    <row r="11" spans="1:494" s="12" customFormat="1" ht="20.100000000000001" customHeight="1">
      <c r="A11" s="85" t="s">
        <v>57</v>
      </c>
      <c r="B11" s="69">
        <f>91.415</f>
        <v>91.415000000000006</v>
      </c>
      <c r="C11" s="96">
        <f>(95405)*0.001</f>
        <v>95.405000000000001</v>
      </c>
      <c r="D11" s="96">
        <f>(95323)*0.001</f>
        <v>95.323000000000008</v>
      </c>
      <c r="E11" s="393">
        <f>(97988)*0.001</f>
        <v>97.988</v>
      </c>
      <c r="F11" s="96">
        <f>(104074)*0.001</f>
        <v>104.074</v>
      </c>
      <c r="G11" s="96">
        <f>(115904)*0.001</f>
        <v>115.904</v>
      </c>
      <c r="H11" s="96">
        <f>(82162)*0.001</f>
        <v>82.162000000000006</v>
      </c>
      <c r="I11" s="394">
        <f>(71571)*0.001</f>
        <v>71.570999999999998</v>
      </c>
      <c r="J11" s="395">
        <f>(107548)*0.001</f>
        <v>107.548</v>
      </c>
      <c r="K11" s="73">
        <v>128.1</v>
      </c>
      <c r="L11" s="73">
        <v>148.80000000000001</v>
      </c>
      <c r="M11" s="117">
        <v>135.80000000000001</v>
      </c>
      <c r="N11" s="69">
        <v>158.69999999999999</v>
      </c>
      <c r="O11" s="69">
        <v>174.6</v>
      </c>
      <c r="P11" s="73">
        <v>109</v>
      </c>
      <c r="Q11" s="278">
        <v>145</v>
      </c>
      <c r="R11" s="368">
        <v>129.80000000000001</v>
      </c>
      <c r="S11" s="368">
        <v>156.19999999999999</v>
      </c>
      <c r="T11" s="368">
        <v>125.6</v>
      </c>
      <c r="U11" s="278">
        <v>151.80000000000001</v>
      </c>
      <c r="V11" s="368">
        <v>150</v>
      </c>
      <c r="W11" s="368"/>
      <c r="X11" s="368"/>
      <c r="Y11" s="278"/>
    </row>
    <row r="12" spans="1:494" s="12" customFormat="1" ht="20.100000000000001" customHeight="1">
      <c r="A12" s="85" t="s">
        <v>7</v>
      </c>
      <c r="B12" s="69">
        <f>8.419</f>
        <v>8.4190000000000005</v>
      </c>
      <c r="C12" s="96">
        <f>(8398)*0.001</f>
        <v>8.3979999999999997</v>
      </c>
      <c r="D12" s="96">
        <f>(8378)*0.001</f>
        <v>8.3780000000000001</v>
      </c>
      <c r="E12" s="393">
        <f>(8357)*0.001</f>
        <v>8.3569999999999993</v>
      </c>
      <c r="F12" s="96">
        <f>(8336)*0.001</f>
        <v>8.3360000000000003</v>
      </c>
      <c r="G12" s="96">
        <f>(7788)*0.001</f>
        <v>7.7880000000000003</v>
      </c>
      <c r="H12" s="96">
        <f>(7427)*0.001</f>
        <v>7.4270000000000005</v>
      </c>
      <c r="I12" s="394">
        <f>(5330)*0.001</f>
        <v>5.33</v>
      </c>
      <c r="J12" s="395">
        <f>(5315)*0.001</f>
        <v>5.3150000000000004</v>
      </c>
      <c r="K12" s="73">
        <v>5.3</v>
      </c>
      <c r="L12" s="73">
        <v>5.3</v>
      </c>
      <c r="M12" s="117">
        <v>5.3</v>
      </c>
      <c r="N12" s="69">
        <v>5.2</v>
      </c>
      <c r="O12" s="69">
        <v>5.2</v>
      </c>
      <c r="P12" s="73">
        <v>5.2</v>
      </c>
      <c r="Q12" s="278">
        <v>5.2</v>
      </c>
      <c r="R12" s="368">
        <v>5.2</v>
      </c>
      <c r="S12" s="368">
        <v>5.2</v>
      </c>
      <c r="T12" s="368">
        <v>5.2</v>
      </c>
      <c r="U12" s="278">
        <v>5.0999999999999996</v>
      </c>
      <c r="V12" s="368">
        <v>5.0999999999999996</v>
      </c>
      <c r="W12" s="368"/>
      <c r="X12" s="368"/>
      <c r="Y12" s="278"/>
    </row>
    <row r="13" spans="1:494" s="12" customFormat="1" ht="20.100000000000001" customHeight="1">
      <c r="A13" s="85" t="s">
        <v>194</v>
      </c>
      <c r="B13" s="422">
        <v>0</v>
      </c>
      <c r="C13" s="399">
        <f>(33259)*0.001</f>
        <v>33.259</v>
      </c>
      <c r="D13" s="399">
        <f>(33252)*0.001</f>
        <v>33.252000000000002</v>
      </c>
      <c r="E13" s="400">
        <f>(35125)*0.001</f>
        <v>35.125</v>
      </c>
      <c r="F13" s="399">
        <f>(34399)*0.001</f>
        <v>34.399000000000001</v>
      </c>
      <c r="G13" s="399">
        <f>(32935)*0.001</f>
        <v>32.935000000000002</v>
      </c>
      <c r="H13" s="399">
        <f>(29318)*0.001</f>
        <v>29.318000000000001</v>
      </c>
      <c r="I13" s="401">
        <f>(29551)*0.001</f>
        <v>29.551000000000002</v>
      </c>
      <c r="J13" s="402">
        <f>(26502)*0.001</f>
        <v>26.501999999999999</v>
      </c>
      <c r="K13" s="73">
        <v>46.2</v>
      </c>
      <c r="L13" s="73">
        <v>67</v>
      </c>
      <c r="M13" s="117">
        <v>81</v>
      </c>
      <c r="N13" s="69">
        <v>84.1</v>
      </c>
      <c r="O13" s="69">
        <v>82.3</v>
      </c>
      <c r="P13" s="73">
        <v>81.2</v>
      </c>
      <c r="Q13" s="278">
        <v>83.3</v>
      </c>
      <c r="R13" s="368">
        <v>81.099999999999994</v>
      </c>
      <c r="S13" s="368">
        <v>79.7</v>
      </c>
      <c r="T13" s="368">
        <v>80.400000000000006</v>
      </c>
      <c r="U13" s="278">
        <v>82.8</v>
      </c>
      <c r="V13" s="368">
        <v>83.8</v>
      </c>
      <c r="W13" s="368"/>
      <c r="X13" s="368"/>
      <c r="Y13" s="278"/>
    </row>
    <row r="14" spans="1:494" s="12" customFormat="1" ht="20.100000000000001" customHeight="1">
      <c r="A14" s="85" t="s">
        <v>180</v>
      </c>
      <c r="B14" s="78">
        <v>0</v>
      </c>
      <c r="C14" s="78">
        <v>0</v>
      </c>
      <c r="D14" s="78">
        <v>0</v>
      </c>
      <c r="E14" s="423">
        <v>0</v>
      </c>
      <c r="F14" s="78">
        <v>0</v>
      </c>
      <c r="G14" s="78">
        <v>0</v>
      </c>
      <c r="H14" s="78">
        <v>0</v>
      </c>
      <c r="I14" s="423">
        <v>0</v>
      </c>
      <c r="J14" s="78">
        <v>0</v>
      </c>
      <c r="K14" s="78">
        <v>0</v>
      </c>
      <c r="L14" s="78">
        <v>0</v>
      </c>
      <c r="M14" s="423">
        <v>0</v>
      </c>
      <c r="N14" s="78">
        <v>0</v>
      </c>
      <c r="O14" s="78">
        <v>0</v>
      </c>
      <c r="P14" s="78">
        <v>0</v>
      </c>
      <c r="Q14" s="423">
        <v>0</v>
      </c>
      <c r="R14" s="368">
        <v>180.5</v>
      </c>
      <c r="S14" s="368">
        <v>0</v>
      </c>
      <c r="T14" s="368">
        <v>0</v>
      </c>
      <c r="U14" s="278">
        <v>0</v>
      </c>
      <c r="V14" s="368">
        <v>0</v>
      </c>
      <c r="W14" s="368"/>
      <c r="X14" s="368"/>
      <c r="Y14" s="278"/>
    </row>
    <row r="15" spans="1:494" s="12" customFormat="1" ht="20.100000000000001" customHeight="1">
      <c r="A15" s="85" t="s">
        <v>195</v>
      </c>
      <c r="B15" s="69">
        <f>92.159</f>
        <v>92.159000000000006</v>
      </c>
      <c r="C15" s="96">
        <f>(84770)*0.001</f>
        <v>84.77</v>
      </c>
      <c r="D15" s="96">
        <f>(116704)*0.001</f>
        <v>116.70400000000001</v>
      </c>
      <c r="E15" s="393">
        <f>(109642)*0.001</f>
        <v>109.642</v>
      </c>
      <c r="F15" s="96">
        <f>(62960)*0.001</f>
        <v>62.96</v>
      </c>
      <c r="G15" s="96">
        <f>(61422)*0.001</f>
        <v>61.422000000000004</v>
      </c>
      <c r="H15" s="96">
        <f>(27107)*0.001</f>
        <v>27.106999999999999</v>
      </c>
      <c r="I15" s="394">
        <f>(20803)*0.001</f>
        <v>20.803000000000001</v>
      </c>
      <c r="J15" s="395">
        <f>(6430)*0.001</f>
        <v>6.43</v>
      </c>
      <c r="K15" s="73">
        <v>107.4</v>
      </c>
      <c r="L15" s="73">
        <v>141.4</v>
      </c>
      <c r="M15" s="117">
        <v>198.5</v>
      </c>
      <c r="N15" s="69">
        <v>238</v>
      </c>
      <c r="O15" s="69">
        <v>232.8</v>
      </c>
      <c r="P15" s="73">
        <v>232.7</v>
      </c>
      <c r="Q15" s="278">
        <v>272.8</v>
      </c>
      <c r="R15" s="368">
        <v>295.39999999999998</v>
      </c>
      <c r="S15" s="368">
        <v>331.8</v>
      </c>
      <c r="T15" s="368">
        <v>373.3</v>
      </c>
      <c r="U15" s="278">
        <v>452</v>
      </c>
      <c r="V15" s="368">
        <v>476.3</v>
      </c>
      <c r="W15" s="368"/>
      <c r="X15" s="368"/>
      <c r="Y15" s="278"/>
    </row>
    <row r="16" spans="1:494" s="65" customFormat="1" ht="20.100000000000001" customHeight="1">
      <c r="A16" s="90" t="s">
        <v>99</v>
      </c>
      <c r="B16" s="75">
        <v>0</v>
      </c>
      <c r="C16" s="75">
        <v>0</v>
      </c>
      <c r="D16" s="75">
        <v>0</v>
      </c>
      <c r="E16" s="133">
        <v>0</v>
      </c>
      <c r="F16" s="75">
        <v>0</v>
      </c>
      <c r="G16" s="75">
        <v>0</v>
      </c>
      <c r="H16" s="75">
        <v>0</v>
      </c>
      <c r="I16" s="108">
        <v>0</v>
      </c>
      <c r="J16" s="119">
        <v>0</v>
      </c>
      <c r="K16" s="75">
        <v>0</v>
      </c>
      <c r="L16" s="75">
        <v>0</v>
      </c>
      <c r="M16" s="120">
        <v>1.2</v>
      </c>
      <c r="N16" s="75">
        <v>0</v>
      </c>
      <c r="O16" s="75">
        <v>0</v>
      </c>
      <c r="P16" s="75">
        <v>0</v>
      </c>
      <c r="Q16" s="279">
        <v>6.9</v>
      </c>
      <c r="R16" s="370">
        <v>0.6</v>
      </c>
      <c r="S16" s="370">
        <v>0</v>
      </c>
      <c r="T16" s="370">
        <v>3.5</v>
      </c>
      <c r="U16" s="279">
        <v>9.5</v>
      </c>
      <c r="V16" s="370">
        <v>7.8</v>
      </c>
      <c r="W16" s="370"/>
      <c r="X16" s="370"/>
      <c r="Y16" s="279"/>
    </row>
    <row r="17" spans="1:25" s="12" customFormat="1" ht="20.100000000000001" customHeight="1" thickBot="1">
      <c r="A17" s="86" t="s">
        <v>8</v>
      </c>
      <c r="B17" s="77">
        <f>30.5</f>
        <v>30.5</v>
      </c>
      <c r="C17" s="96">
        <f>(40245)*0.001</f>
        <v>40.244999999999997</v>
      </c>
      <c r="D17" s="96">
        <f>(37018)*0.001</f>
        <v>37.018000000000001</v>
      </c>
      <c r="E17" s="393">
        <f>(31356)*0.001</f>
        <v>31.356000000000002</v>
      </c>
      <c r="F17" s="96">
        <f>(30260)*0.001</f>
        <v>30.26</v>
      </c>
      <c r="G17" s="96">
        <f>(27326)*0.001</f>
        <v>27.326000000000001</v>
      </c>
      <c r="H17" s="96">
        <f>(27552)*0.001</f>
        <v>27.552</v>
      </c>
      <c r="I17" s="394">
        <f>(38854)*0.001</f>
        <v>38.853999999999999</v>
      </c>
      <c r="J17" s="395">
        <f>(34685)*0.001</f>
        <v>34.685000000000002</v>
      </c>
      <c r="K17" s="76">
        <v>240.5</v>
      </c>
      <c r="L17" s="76">
        <v>285.7</v>
      </c>
      <c r="M17" s="121">
        <v>281.10000000000002</v>
      </c>
      <c r="N17" s="77">
        <v>229</v>
      </c>
      <c r="O17" s="77">
        <v>260.89999999999998</v>
      </c>
      <c r="P17" s="76">
        <v>107.2</v>
      </c>
      <c r="Q17" s="278">
        <v>87.6</v>
      </c>
      <c r="R17" s="371">
        <v>211.3</v>
      </c>
      <c r="S17" s="371">
        <v>236.5</v>
      </c>
      <c r="T17" s="371">
        <v>238.4</v>
      </c>
      <c r="U17" s="278">
        <v>232.7</v>
      </c>
      <c r="V17" s="368">
        <v>249.3</v>
      </c>
      <c r="W17" s="371"/>
      <c r="X17" s="371"/>
      <c r="Y17" s="278"/>
    </row>
    <row r="18" spans="1:25" s="15" customFormat="1" ht="24.95" customHeight="1" thickBot="1">
      <c r="A18" s="13" t="s">
        <v>10</v>
      </c>
      <c r="B18" s="89">
        <f t="shared" ref="B18:I18" si="0">(SUM(B5:B17))</f>
        <v>4228.9560000000001</v>
      </c>
      <c r="C18" s="89">
        <f t="shared" si="0"/>
        <v>4425.1450000000004</v>
      </c>
      <c r="D18" s="89">
        <f t="shared" si="0"/>
        <v>4456.701</v>
      </c>
      <c r="E18" s="111">
        <f t="shared" si="0"/>
        <v>4476.1480000000001</v>
      </c>
      <c r="F18" s="89">
        <f t="shared" si="0"/>
        <v>4424.8490000000011</v>
      </c>
      <c r="G18" s="89">
        <f t="shared" si="0"/>
        <v>4428.5439999999999</v>
      </c>
      <c r="H18" s="89">
        <f t="shared" si="0"/>
        <v>4436.0960000000005</v>
      </c>
      <c r="I18" s="89">
        <f t="shared" si="0"/>
        <v>4455.8450000000003</v>
      </c>
      <c r="J18" s="396">
        <f>(SUM(J5:J17))</f>
        <v>4454.3520000000008</v>
      </c>
      <c r="K18" s="88">
        <f t="shared" ref="K18:L18" si="1">SUM(K5:K17)</f>
        <v>23391.8</v>
      </c>
      <c r="L18" s="88">
        <f t="shared" si="1"/>
        <v>23581.399999999998</v>
      </c>
      <c r="M18" s="111">
        <f t="shared" ref="M18:R18" si="2">(SUM(M5:M17))-M16</f>
        <v>23356.1</v>
      </c>
      <c r="N18" s="89">
        <f t="shared" si="2"/>
        <v>23132</v>
      </c>
      <c r="O18" s="89">
        <f t="shared" si="2"/>
        <v>22867.599999999999</v>
      </c>
      <c r="P18" s="89">
        <f t="shared" si="2"/>
        <v>22396.3</v>
      </c>
      <c r="Q18" s="280">
        <f t="shared" si="2"/>
        <v>22261.199999999997</v>
      </c>
      <c r="R18" s="372">
        <f t="shared" si="2"/>
        <v>24489.499999999996</v>
      </c>
      <c r="S18" s="372">
        <f t="shared" ref="S18:V18" si="3">(SUM(S5:S17))-S16</f>
        <v>24377.8</v>
      </c>
      <c r="T18" s="372">
        <f t="shared" si="3"/>
        <v>24047.600000000002</v>
      </c>
      <c r="U18" s="280">
        <f t="shared" si="3"/>
        <v>23958.899999999998</v>
      </c>
      <c r="V18" s="372">
        <f t="shared" si="3"/>
        <v>23642.099999999995</v>
      </c>
      <c r="W18" s="372"/>
      <c r="X18" s="372"/>
      <c r="Y18" s="280"/>
    </row>
    <row r="19" spans="1:25" s="15" customFormat="1" ht="20.100000000000001" customHeight="1">
      <c r="A19" s="84" t="s">
        <v>58</v>
      </c>
      <c r="B19" s="67">
        <f>176.114</f>
        <v>176.114</v>
      </c>
      <c r="C19" s="96">
        <f>(167251)*0.001</f>
        <v>167.251</v>
      </c>
      <c r="D19" s="96">
        <f>(171461)*0.001</f>
        <v>171.46100000000001</v>
      </c>
      <c r="E19" s="393">
        <f>(141652)*0.001</f>
        <v>141.65200000000002</v>
      </c>
      <c r="F19" s="96">
        <f>(155399)*0.001</f>
        <v>155.399</v>
      </c>
      <c r="G19" s="96">
        <f>(170743)*0.001</f>
        <v>170.74299999999999</v>
      </c>
      <c r="H19" s="96">
        <f>(208533)*0.001</f>
        <v>208.53300000000002</v>
      </c>
      <c r="I19" s="394">
        <f>(181341)*0.001</f>
        <v>181.34100000000001</v>
      </c>
      <c r="J19" s="395">
        <f>(228936)*0.001</f>
        <v>228.93600000000001</v>
      </c>
      <c r="K19" s="91">
        <v>199.1</v>
      </c>
      <c r="L19" s="91">
        <v>172.6</v>
      </c>
      <c r="M19" s="122">
        <v>152.1</v>
      </c>
      <c r="N19" s="67">
        <v>163.1</v>
      </c>
      <c r="O19" s="67">
        <v>170.4</v>
      </c>
      <c r="P19" s="91">
        <v>255.6</v>
      </c>
      <c r="Q19" s="278">
        <v>192.2</v>
      </c>
      <c r="R19" s="373">
        <v>234.7</v>
      </c>
      <c r="S19" s="373">
        <v>163.5</v>
      </c>
      <c r="T19" s="373">
        <v>219.1</v>
      </c>
      <c r="U19" s="278">
        <v>192</v>
      </c>
      <c r="V19" s="373">
        <v>179.8</v>
      </c>
      <c r="W19" s="373"/>
      <c r="X19" s="373"/>
      <c r="Y19" s="278"/>
    </row>
    <row r="20" spans="1:25" s="12" customFormat="1" ht="20.100000000000001" customHeight="1">
      <c r="A20" s="85" t="s">
        <v>11</v>
      </c>
      <c r="B20" s="69">
        <f>185.376</f>
        <v>185.376</v>
      </c>
      <c r="C20" s="96">
        <f>(185528)*0.001</f>
        <v>185.52799999999999</v>
      </c>
      <c r="D20" s="96">
        <f>(177054)*0.001</f>
        <v>177.054</v>
      </c>
      <c r="E20" s="393">
        <f>(161974)*0.001</f>
        <v>161.97399999999999</v>
      </c>
      <c r="F20" s="96">
        <f>(150701)*0.001</f>
        <v>150.70099999999999</v>
      </c>
      <c r="G20" s="96">
        <f>(157445)*0.001</f>
        <v>157.44499999999999</v>
      </c>
      <c r="H20" s="96">
        <f>(155698)*0.001</f>
        <v>155.69800000000001</v>
      </c>
      <c r="I20" s="394">
        <f>(146771)*0.001</f>
        <v>146.77100000000002</v>
      </c>
      <c r="J20" s="395">
        <f>(163072)*0.001</f>
        <v>163.072</v>
      </c>
      <c r="K20" s="68">
        <v>343.8</v>
      </c>
      <c r="L20" s="68">
        <v>316.60000000000002</v>
      </c>
      <c r="M20" s="117">
        <v>301.39999999999998</v>
      </c>
      <c r="N20" s="69">
        <v>252.9</v>
      </c>
      <c r="O20" s="69">
        <v>261.7</v>
      </c>
      <c r="P20" s="68">
        <v>264.10000000000002</v>
      </c>
      <c r="Q20" s="278">
        <v>281</v>
      </c>
      <c r="R20" s="368">
        <v>260.2</v>
      </c>
      <c r="S20" s="368">
        <v>270</v>
      </c>
      <c r="T20" s="368">
        <v>281</v>
      </c>
      <c r="U20" s="278">
        <v>278.7</v>
      </c>
      <c r="V20" s="368">
        <v>237.2</v>
      </c>
      <c r="W20" s="368"/>
      <c r="X20" s="368"/>
      <c r="Y20" s="278"/>
    </row>
    <row r="21" spans="1:25" s="12" customFormat="1" ht="20.100000000000001" customHeight="1">
      <c r="A21" s="85" t="s">
        <v>63</v>
      </c>
      <c r="B21" s="69">
        <f>1.102</f>
        <v>1.1020000000000001</v>
      </c>
      <c r="C21" s="70">
        <f>0</f>
        <v>0</v>
      </c>
      <c r="D21" s="70">
        <f>0</f>
        <v>0</v>
      </c>
      <c r="E21" s="123">
        <f>0</f>
        <v>0</v>
      </c>
      <c r="F21" s="70">
        <f>0</f>
        <v>0</v>
      </c>
      <c r="G21" s="70">
        <f>0</f>
        <v>0</v>
      </c>
      <c r="H21" s="70">
        <f>0</f>
        <v>0</v>
      </c>
      <c r="I21" s="107">
        <v>0</v>
      </c>
      <c r="J21" s="118">
        <v>0</v>
      </c>
      <c r="K21" s="78">
        <v>0</v>
      </c>
      <c r="L21" s="78">
        <v>0</v>
      </c>
      <c r="M21" s="123">
        <f>0*($A$71)</f>
        <v>0</v>
      </c>
      <c r="N21" s="70">
        <f>0*($A$71)</f>
        <v>0</v>
      </c>
      <c r="O21" s="70">
        <v>0</v>
      </c>
      <c r="P21" s="78">
        <v>0</v>
      </c>
      <c r="Q21" s="278">
        <v>0</v>
      </c>
      <c r="R21" s="369">
        <v>0</v>
      </c>
      <c r="S21" s="369">
        <v>0</v>
      </c>
      <c r="T21" s="369">
        <v>0</v>
      </c>
      <c r="U21" s="278">
        <v>0</v>
      </c>
      <c r="V21" s="369">
        <v>0</v>
      </c>
      <c r="W21" s="369"/>
      <c r="X21" s="369"/>
      <c r="Y21" s="278"/>
    </row>
    <row r="22" spans="1:25" s="12" customFormat="1" ht="20.100000000000001" customHeight="1">
      <c r="A22" s="85" t="s">
        <v>196</v>
      </c>
      <c r="B22" s="69">
        <f>342.386</f>
        <v>342.38600000000002</v>
      </c>
      <c r="C22" s="96">
        <f>(382365)*0.001</f>
        <v>382.36500000000001</v>
      </c>
      <c r="D22" s="96">
        <f>(376949)*0.001</f>
        <v>376.94900000000001</v>
      </c>
      <c r="E22" s="393">
        <f>(375659)*0.001</f>
        <v>375.65899999999999</v>
      </c>
      <c r="F22" s="96">
        <f>(403593)*0.001</f>
        <v>403.59300000000002</v>
      </c>
      <c r="G22" s="96">
        <f>(410902)*0.001</f>
        <v>410.90199999999999</v>
      </c>
      <c r="H22" s="96">
        <f>(401503)*0.001</f>
        <v>401.50299999999999</v>
      </c>
      <c r="I22" s="394">
        <f>(374424)*0.001</f>
        <v>374.42400000000004</v>
      </c>
      <c r="J22" s="395">
        <f>(398589)*0.001</f>
        <v>398.589</v>
      </c>
      <c r="K22" s="68">
        <v>1374.4</v>
      </c>
      <c r="L22" s="68">
        <v>1369.9</v>
      </c>
      <c r="M22" s="117">
        <v>1453.4</v>
      </c>
      <c r="N22" s="69">
        <v>1599.5</v>
      </c>
      <c r="O22" s="69">
        <v>1988.6</v>
      </c>
      <c r="P22" s="68">
        <v>1699.4</v>
      </c>
      <c r="Q22" s="278">
        <v>1619.1</v>
      </c>
      <c r="R22" s="368">
        <v>1503.9</v>
      </c>
      <c r="S22" s="368">
        <v>1541.1</v>
      </c>
      <c r="T22" s="368">
        <v>1571.8</v>
      </c>
      <c r="U22" s="278">
        <v>1688</v>
      </c>
      <c r="V22" s="368">
        <v>1608.5</v>
      </c>
      <c r="W22" s="368"/>
      <c r="X22" s="368"/>
      <c r="Y22" s="278"/>
    </row>
    <row r="23" spans="1:25" s="12" customFormat="1" ht="20.100000000000001" customHeight="1">
      <c r="A23" s="85" t="s">
        <v>74</v>
      </c>
      <c r="B23" s="69">
        <f>9.894</f>
        <v>9.8940000000000001</v>
      </c>
      <c r="C23" s="96">
        <f>(263)*0.001</f>
        <v>0.26300000000000001</v>
      </c>
      <c r="D23" s="96">
        <f>(321)*0.001</f>
        <v>0.32100000000000001</v>
      </c>
      <c r="E23" s="393">
        <f>(6494)*0.001</f>
        <v>6.4939999999999998</v>
      </c>
      <c r="F23" s="96">
        <f>(1372)*0.001</f>
        <v>1.3720000000000001</v>
      </c>
      <c r="G23" s="96">
        <f>(1952)*0.001</f>
        <v>1.952</v>
      </c>
      <c r="H23" s="96">
        <f>(1195)*0.001</f>
        <v>1.1950000000000001</v>
      </c>
      <c r="I23" s="394">
        <f>(183)*0.001</f>
        <v>0.183</v>
      </c>
      <c r="J23" s="395">
        <f>(365)*0.001</f>
        <v>0.36499999999999999</v>
      </c>
      <c r="K23" s="68">
        <v>28</v>
      </c>
      <c r="L23" s="68">
        <v>26</v>
      </c>
      <c r="M23" s="117">
        <v>26</v>
      </c>
      <c r="N23" s="69">
        <v>28.9</v>
      </c>
      <c r="O23" s="69">
        <v>1.5</v>
      </c>
      <c r="P23" s="68">
        <v>0.7</v>
      </c>
      <c r="Q23" s="278">
        <v>0.7</v>
      </c>
      <c r="R23" s="368">
        <v>1.9</v>
      </c>
      <c r="S23" s="368">
        <v>1.4</v>
      </c>
      <c r="T23" s="368">
        <v>0.9</v>
      </c>
      <c r="U23" s="278">
        <v>29.1</v>
      </c>
      <c r="V23" s="368">
        <v>30.3</v>
      </c>
      <c r="W23" s="368"/>
      <c r="X23" s="368"/>
      <c r="Y23" s="278"/>
    </row>
    <row r="24" spans="1:25" s="12" customFormat="1" ht="20.100000000000001" customHeight="1">
      <c r="A24" s="85" t="s">
        <v>197</v>
      </c>
      <c r="B24" s="70">
        <v>0</v>
      </c>
      <c r="C24" s="96">
        <f>(53916)*0.001</f>
        <v>53.916000000000004</v>
      </c>
      <c r="D24" s="96">
        <f>(54038)*0.001</f>
        <v>54.038000000000004</v>
      </c>
      <c r="E24" s="393">
        <f>(57096)*0.001</f>
        <v>57.096000000000004</v>
      </c>
      <c r="F24" s="96">
        <f>(60035)*0.001</f>
        <v>60.035000000000004</v>
      </c>
      <c r="G24" s="96">
        <f>(63564)*0.001</f>
        <v>63.564</v>
      </c>
      <c r="H24" s="96">
        <f>(65852)*0.001</f>
        <v>65.852000000000004</v>
      </c>
      <c r="I24" s="394">
        <f>(70055)*0.001</f>
        <v>70.055000000000007</v>
      </c>
      <c r="J24" s="395">
        <f>(70958)*0.001</f>
        <v>70.957999999999998</v>
      </c>
      <c r="K24" s="68">
        <v>91.2</v>
      </c>
      <c r="L24" s="68">
        <v>117.3</v>
      </c>
      <c r="M24" s="117">
        <v>141.69999999999999</v>
      </c>
      <c r="N24" s="69">
        <v>165.3</v>
      </c>
      <c r="O24" s="69">
        <v>186.1</v>
      </c>
      <c r="P24" s="68">
        <v>200.4</v>
      </c>
      <c r="Q24" s="278">
        <v>212.7</v>
      </c>
      <c r="R24" s="368">
        <v>213.3</v>
      </c>
      <c r="S24" s="368">
        <v>209.1</v>
      </c>
      <c r="T24" s="368">
        <v>207.6</v>
      </c>
      <c r="U24" s="278">
        <v>207.2</v>
      </c>
      <c r="V24" s="368">
        <v>205.7</v>
      </c>
      <c r="W24" s="368"/>
      <c r="X24" s="368"/>
      <c r="Y24" s="278"/>
    </row>
    <row r="25" spans="1:25" s="12" customFormat="1" ht="20.100000000000001" customHeight="1">
      <c r="A25" s="85" t="s">
        <v>198</v>
      </c>
      <c r="B25" s="69">
        <f>136.299</f>
        <v>136.29900000000001</v>
      </c>
      <c r="C25" s="96">
        <f>(73814)*0.001</f>
        <v>73.814000000000007</v>
      </c>
      <c r="D25" s="96">
        <f>(53239)*0.001</f>
        <v>53.239000000000004</v>
      </c>
      <c r="E25" s="393">
        <f>(71968)*0.001</f>
        <v>71.968000000000004</v>
      </c>
      <c r="F25" s="96">
        <f>(109187)*0.001</f>
        <v>109.187</v>
      </c>
      <c r="G25" s="96">
        <f>(93754)*0.001</f>
        <v>93.754000000000005</v>
      </c>
      <c r="H25" s="96">
        <f>(113708)*0.001</f>
        <v>113.708</v>
      </c>
      <c r="I25" s="394">
        <f>(105360)*0.001</f>
        <v>105.36</v>
      </c>
      <c r="J25" s="395">
        <f>(106732)*0.001</f>
        <v>106.732</v>
      </c>
      <c r="K25" s="68">
        <v>221.9</v>
      </c>
      <c r="L25" s="68">
        <v>224.2</v>
      </c>
      <c r="M25" s="117">
        <v>160.1</v>
      </c>
      <c r="N25" s="69">
        <v>212.9</v>
      </c>
      <c r="O25" s="69">
        <v>226.2</v>
      </c>
      <c r="P25" s="68">
        <v>255</v>
      </c>
      <c r="Q25" s="278">
        <v>399.5</v>
      </c>
      <c r="R25" s="368">
        <v>69.599999999999994</v>
      </c>
      <c r="S25" s="368">
        <v>62.8</v>
      </c>
      <c r="T25" s="368">
        <v>54.9</v>
      </c>
      <c r="U25" s="278">
        <v>38.700000000000003</v>
      </c>
      <c r="V25" s="368">
        <v>72.3</v>
      </c>
      <c r="W25" s="368"/>
      <c r="X25" s="368"/>
      <c r="Y25" s="278"/>
    </row>
    <row r="26" spans="1:25" s="65" customFormat="1" ht="20.100000000000001" customHeight="1">
      <c r="A26" s="90" t="s">
        <v>99</v>
      </c>
      <c r="B26" s="70">
        <v>0</v>
      </c>
      <c r="C26" s="70">
        <f>0</f>
        <v>0</v>
      </c>
      <c r="D26" s="70">
        <v>0</v>
      </c>
      <c r="E26" s="134">
        <f>0</f>
        <v>0</v>
      </c>
      <c r="F26" s="70">
        <f>0</f>
        <v>0</v>
      </c>
      <c r="G26" s="70">
        <v>0</v>
      </c>
      <c r="H26" s="70">
        <f>0</f>
        <v>0</v>
      </c>
      <c r="I26" s="109">
        <v>0</v>
      </c>
      <c r="J26" s="118">
        <v>0</v>
      </c>
      <c r="K26" s="70">
        <f>0*($A$71)</f>
        <v>0</v>
      </c>
      <c r="L26" s="70">
        <f>0*($A$71)</f>
        <v>0</v>
      </c>
      <c r="M26" s="120">
        <v>22.2</v>
      </c>
      <c r="N26" s="74">
        <v>26.3</v>
      </c>
      <c r="O26" s="74">
        <v>27.3</v>
      </c>
      <c r="P26" s="79">
        <v>3.8</v>
      </c>
      <c r="Q26" s="279">
        <v>10.5</v>
      </c>
      <c r="R26" s="370">
        <v>0.2</v>
      </c>
      <c r="S26" s="370">
        <v>3.6</v>
      </c>
      <c r="T26" s="370">
        <v>4.8</v>
      </c>
      <c r="U26" s="279">
        <v>6.7</v>
      </c>
      <c r="V26" s="370">
        <v>4.9000000000000004</v>
      </c>
      <c r="W26" s="370"/>
      <c r="X26" s="370"/>
      <c r="Y26" s="279"/>
    </row>
    <row r="27" spans="1:25" s="12" customFormat="1" ht="20.100000000000001" customHeight="1">
      <c r="A27" s="85" t="s">
        <v>91</v>
      </c>
      <c r="B27" s="70">
        <v>0</v>
      </c>
      <c r="C27" s="70">
        <f>0</f>
        <v>0</v>
      </c>
      <c r="D27" s="70">
        <v>0</v>
      </c>
      <c r="E27" s="123">
        <v>0</v>
      </c>
      <c r="F27" s="70">
        <f>0</f>
        <v>0</v>
      </c>
      <c r="G27" s="70">
        <v>0</v>
      </c>
      <c r="H27" s="70">
        <f>0</f>
        <v>0</v>
      </c>
      <c r="I27" s="107">
        <v>0</v>
      </c>
      <c r="J27" s="118">
        <v>0</v>
      </c>
      <c r="K27" s="80">
        <v>270</v>
      </c>
      <c r="L27" s="80">
        <v>30</v>
      </c>
      <c r="M27" s="123">
        <f>0*($A$71)</f>
        <v>0</v>
      </c>
      <c r="N27" s="69">
        <v>42.7</v>
      </c>
      <c r="O27" s="69">
        <v>43.1</v>
      </c>
      <c r="P27" s="71">
        <v>0</v>
      </c>
      <c r="Q27" s="278">
        <v>0</v>
      </c>
      <c r="R27" s="368">
        <v>12.4</v>
      </c>
      <c r="S27" s="368">
        <v>0</v>
      </c>
      <c r="T27" s="368">
        <v>0</v>
      </c>
      <c r="U27" s="278">
        <v>0</v>
      </c>
      <c r="V27" s="368">
        <v>0</v>
      </c>
      <c r="W27" s="368"/>
      <c r="X27" s="368"/>
      <c r="Y27" s="278"/>
    </row>
    <row r="28" spans="1:25" s="12" customFormat="1" ht="20.100000000000001" customHeight="1">
      <c r="A28" s="85" t="s">
        <v>12</v>
      </c>
      <c r="B28" s="69">
        <f>422.627</f>
        <v>422.62700000000001</v>
      </c>
      <c r="C28" s="96">
        <f>(309519)*0.001</f>
        <v>309.51900000000001</v>
      </c>
      <c r="D28" s="96">
        <f>(225111)*0.001</f>
        <v>225.11100000000002</v>
      </c>
      <c r="E28" s="393">
        <f>(270354)*0.001</f>
        <v>270.35399999999998</v>
      </c>
      <c r="F28" s="96">
        <f>(324338)*0.001</f>
        <v>324.33800000000002</v>
      </c>
      <c r="G28" s="96">
        <f>(265803)*0.001</f>
        <v>265.803</v>
      </c>
      <c r="H28" s="96">
        <f>(215396)*0.001</f>
        <v>215.39600000000002</v>
      </c>
      <c r="I28" s="394">
        <f>(342251)*0.001</f>
        <v>342.25100000000003</v>
      </c>
      <c r="J28" s="395">
        <f>(428190)*0.001</f>
        <v>428.19</v>
      </c>
      <c r="K28" s="68">
        <v>1894.3</v>
      </c>
      <c r="L28" s="68">
        <v>1631</v>
      </c>
      <c r="M28" s="117">
        <v>1735.3</v>
      </c>
      <c r="N28" s="69">
        <v>1478.9</v>
      </c>
      <c r="O28" s="69">
        <v>1383.8</v>
      </c>
      <c r="P28" s="68">
        <v>1059.5999999999999</v>
      </c>
      <c r="Q28" s="278">
        <v>1512</v>
      </c>
      <c r="R28" s="368">
        <v>1538.6</v>
      </c>
      <c r="S28" s="368">
        <v>944.5</v>
      </c>
      <c r="T28" s="368">
        <v>1099.4000000000001</v>
      </c>
      <c r="U28" s="278">
        <v>1326</v>
      </c>
      <c r="V28" s="368">
        <v>1567.7</v>
      </c>
      <c r="W28" s="368"/>
      <c r="X28" s="368"/>
      <c r="Y28" s="278"/>
    </row>
    <row r="29" spans="1:25" s="12" customFormat="1" ht="20.100000000000001" customHeight="1" thickBot="1">
      <c r="A29" s="85" t="s">
        <v>45</v>
      </c>
      <c r="B29" s="70">
        <v>0</v>
      </c>
      <c r="C29" s="70">
        <f>0</f>
        <v>0</v>
      </c>
      <c r="D29" s="70">
        <f>0</f>
        <v>0</v>
      </c>
      <c r="E29" s="123">
        <v>0</v>
      </c>
      <c r="F29" s="70">
        <f>0</f>
        <v>0</v>
      </c>
      <c r="G29" s="70">
        <v>0</v>
      </c>
      <c r="H29" s="70">
        <f>0</f>
        <v>0</v>
      </c>
      <c r="I29" s="107">
        <v>0</v>
      </c>
      <c r="J29" s="118">
        <v>0</v>
      </c>
      <c r="K29" s="80">
        <v>12.6</v>
      </c>
      <c r="L29" s="80">
        <v>12.2</v>
      </c>
      <c r="M29" s="117">
        <v>12.6</v>
      </c>
      <c r="N29" s="69">
        <v>12.7</v>
      </c>
      <c r="O29" s="69">
        <v>12.8</v>
      </c>
      <c r="P29" s="80">
        <v>12.4</v>
      </c>
      <c r="Q29" s="278">
        <v>11.7</v>
      </c>
      <c r="R29" s="368">
        <v>31.4</v>
      </c>
      <c r="S29" s="368">
        <v>10.9</v>
      </c>
      <c r="T29" s="368">
        <v>10.8</v>
      </c>
      <c r="U29" s="278">
        <v>10.7</v>
      </c>
      <c r="V29" s="368">
        <v>9.6</v>
      </c>
      <c r="W29" s="368"/>
      <c r="X29" s="368"/>
      <c r="Y29" s="278"/>
    </row>
    <row r="30" spans="1:25" s="15" customFormat="1" ht="24.95" customHeight="1" thickBot="1">
      <c r="A30" s="13" t="s">
        <v>13</v>
      </c>
      <c r="B30" s="89">
        <f t="shared" ref="B30:L30" si="4">SUM(B19:B29)</f>
        <v>1273.798</v>
      </c>
      <c r="C30" s="89">
        <f t="shared" si="4"/>
        <v>1172.6559999999999</v>
      </c>
      <c r="D30" s="89">
        <f t="shared" si="4"/>
        <v>1058.173</v>
      </c>
      <c r="E30" s="111">
        <f t="shared" si="4"/>
        <v>1085.1969999999999</v>
      </c>
      <c r="F30" s="89">
        <f t="shared" si="4"/>
        <v>1204.625</v>
      </c>
      <c r="G30" s="89">
        <f t="shared" si="4"/>
        <v>1164.163</v>
      </c>
      <c r="H30" s="89">
        <f t="shared" si="4"/>
        <v>1161.885</v>
      </c>
      <c r="I30" s="89">
        <f t="shared" si="4"/>
        <v>1220.3850000000002</v>
      </c>
      <c r="J30" s="396">
        <f t="shared" si="4"/>
        <v>1396.8419999999999</v>
      </c>
      <c r="K30" s="88">
        <f t="shared" si="4"/>
        <v>4435.3</v>
      </c>
      <c r="L30" s="88">
        <f t="shared" si="4"/>
        <v>3899.7999999999997</v>
      </c>
      <c r="M30" s="111">
        <f t="shared" ref="M30:R30" si="5">SUM(M19:M29)-M26</f>
        <v>3982.6</v>
      </c>
      <c r="N30" s="89">
        <f t="shared" si="5"/>
        <v>3956.9</v>
      </c>
      <c r="O30" s="89">
        <f t="shared" si="5"/>
        <v>4274.2</v>
      </c>
      <c r="P30" s="89">
        <f t="shared" si="5"/>
        <v>3747.2000000000003</v>
      </c>
      <c r="Q30" s="280">
        <f t="shared" si="5"/>
        <v>4228.8999999999987</v>
      </c>
      <c r="R30" s="372">
        <f t="shared" si="5"/>
        <v>3866.0000000000005</v>
      </c>
      <c r="S30" s="372">
        <f t="shared" ref="S30:T30" si="6">SUM(S19:S29)-S26</f>
        <v>3203.3</v>
      </c>
      <c r="T30" s="372">
        <f t="shared" si="6"/>
        <v>3445.5000000000005</v>
      </c>
      <c r="U30" s="280">
        <f t="shared" ref="U30" si="7">SUM(U19:U29)-U26</f>
        <v>3770.3999999999992</v>
      </c>
      <c r="V30" s="372">
        <f t="shared" ref="V30" si="8">SUM(V19:V29)-V26</f>
        <v>3911.1000000000004</v>
      </c>
      <c r="W30" s="372"/>
      <c r="X30" s="372"/>
      <c r="Y30" s="280"/>
    </row>
    <row r="31" spans="1:25" s="12" customFormat="1" ht="24.95" customHeight="1" thickBot="1">
      <c r="A31" s="92" t="s">
        <v>126</v>
      </c>
      <c r="B31" s="93">
        <f t="shared" ref="B31:P31" si="9">B18+B30</f>
        <v>5502.7539999999999</v>
      </c>
      <c r="C31" s="93">
        <f t="shared" si="9"/>
        <v>5597.8010000000004</v>
      </c>
      <c r="D31" s="93">
        <f t="shared" si="9"/>
        <v>5514.8739999999998</v>
      </c>
      <c r="E31" s="124">
        <f t="shared" si="9"/>
        <v>5561.3450000000003</v>
      </c>
      <c r="F31" s="93">
        <f t="shared" si="9"/>
        <v>5629.4740000000011</v>
      </c>
      <c r="G31" s="93">
        <f t="shared" si="9"/>
        <v>5592.7070000000003</v>
      </c>
      <c r="H31" s="93">
        <f t="shared" si="9"/>
        <v>5597.9810000000007</v>
      </c>
      <c r="I31" s="397">
        <f t="shared" si="9"/>
        <v>5676.2300000000005</v>
      </c>
      <c r="J31" s="398">
        <f t="shared" si="9"/>
        <v>5851.1940000000004</v>
      </c>
      <c r="K31" s="93">
        <f t="shared" si="9"/>
        <v>27827.1</v>
      </c>
      <c r="L31" s="93">
        <f t="shared" si="9"/>
        <v>27481.199999999997</v>
      </c>
      <c r="M31" s="124">
        <f t="shared" si="9"/>
        <v>27338.699999999997</v>
      </c>
      <c r="N31" s="93">
        <f t="shared" si="9"/>
        <v>27088.9</v>
      </c>
      <c r="O31" s="93">
        <f t="shared" si="9"/>
        <v>27141.8</v>
      </c>
      <c r="P31" s="93">
        <f t="shared" si="9"/>
        <v>26143.5</v>
      </c>
      <c r="Q31" s="281">
        <f t="shared" ref="Q31:R31" si="10">Q18+Q30</f>
        <v>26490.099999999995</v>
      </c>
      <c r="R31" s="374">
        <f t="shared" si="10"/>
        <v>28355.499999999996</v>
      </c>
      <c r="S31" s="374">
        <f t="shared" ref="S31:V31" si="11">S18+S30</f>
        <v>27581.1</v>
      </c>
      <c r="T31" s="374">
        <f t="shared" si="11"/>
        <v>27493.100000000002</v>
      </c>
      <c r="U31" s="281">
        <f t="shared" si="11"/>
        <v>27729.299999999996</v>
      </c>
      <c r="V31" s="374">
        <f t="shared" si="11"/>
        <v>27553.199999999997</v>
      </c>
      <c r="W31" s="374"/>
      <c r="X31" s="374"/>
      <c r="Y31" s="281"/>
    </row>
    <row r="32" spans="1:25" s="12" customFormat="1" ht="33.75" customHeight="1" thickBot="1">
      <c r="A32" s="99" t="s">
        <v>14</v>
      </c>
      <c r="B32" s="100"/>
      <c r="C32" s="100"/>
      <c r="D32" s="100"/>
      <c r="E32" s="116"/>
      <c r="F32" s="100"/>
      <c r="G32" s="100"/>
      <c r="H32" s="100"/>
      <c r="I32" s="106"/>
      <c r="J32" s="115"/>
      <c r="K32" s="101"/>
      <c r="L32" s="101"/>
      <c r="M32" s="116"/>
      <c r="N32" s="100"/>
      <c r="O32" s="100"/>
      <c r="P32" s="101"/>
      <c r="Q32" s="116"/>
      <c r="R32" s="375"/>
      <c r="S32" s="375"/>
      <c r="T32" s="375"/>
      <c r="U32" s="116"/>
      <c r="V32" s="375"/>
      <c r="W32" s="375"/>
      <c r="X32" s="375"/>
      <c r="Y32" s="116"/>
    </row>
    <row r="33" spans="1:25" s="12" customFormat="1" ht="20.100000000000001" customHeight="1">
      <c r="A33" s="84" t="s">
        <v>15</v>
      </c>
      <c r="B33" s="403">
        <f>13.934</f>
        <v>13.933999999999999</v>
      </c>
      <c r="C33" s="403">
        <f t="shared" ref="C33:J33" si="12">(13934)*0.001</f>
        <v>13.934000000000001</v>
      </c>
      <c r="D33" s="403">
        <f t="shared" si="12"/>
        <v>13.934000000000001</v>
      </c>
      <c r="E33" s="404">
        <f t="shared" si="12"/>
        <v>13.934000000000001</v>
      </c>
      <c r="F33" s="403">
        <f t="shared" si="12"/>
        <v>13.934000000000001</v>
      </c>
      <c r="G33" s="403">
        <f t="shared" si="12"/>
        <v>13.934000000000001</v>
      </c>
      <c r="H33" s="403">
        <f t="shared" si="12"/>
        <v>13.934000000000001</v>
      </c>
      <c r="I33" s="405">
        <f t="shared" si="12"/>
        <v>13.934000000000001</v>
      </c>
      <c r="J33" s="406">
        <f t="shared" si="12"/>
        <v>13.934000000000001</v>
      </c>
      <c r="K33" s="102">
        <v>25.6</v>
      </c>
      <c r="L33" s="102">
        <v>25.6</v>
      </c>
      <c r="M33" s="125">
        <v>25.6</v>
      </c>
      <c r="N33" s="103">
        <v>25.6</v>
      </c>
      <c r="O33" s="103">
        <v>25.6</v>
      </c>
      <c r="P33" s="103">
        <v>25.6</v>
      </c>
      <c r="Q33" s="282">
        <v>25.6</v>
      </c>
      <c r="R33" s="373">
        <v>25.6</v>
      </c>
      <c r="S33" s="373">
        <v>25.6</v>
      </c>
      <c r="T33" s="373">
        <v>25.6</v>
      </c>
      <c r="U33" s="282">
        <v>25.6</v>
      </c>
      <c r="V33" s="373">
        <v>25.6</v>
      </c>
      <c r="W33" s="373"/>
      <c r="X33" s="373"/>
      <c r="Y33" s="282"/>
    </row>
    <row r="34" spans="1:25" s="12" customFormat="1" ht="20.100000000000001" customHeight="1">
      <c r="A34" s="85" t="s">
        <v>16</v>
      </c>
      <c r="B34" s="399">
        <f>432.265</f>
        <v>432.26499999999999</v>
      </c>
      <c r="C34" s="78">
        <v>0</v>
      </c>
      <c r="D34" s="78">
        <v>0</v>
      </c>
      <c r="E34" s="127">
        <v>0</v>
      </c>
      <c r="F34" s="78">
        <v>0</v>
      </c>
      <c r="G34" s="78">
        <v>0</v>
      </c>
      <c r="H34" s="78">
        <v>0</v>
      </c>
      <c r="I34" s="110">
        <v>0</v>
      </c>
      <c r="J34" s="126">
        <v>0</v>
      </c>
      <c r="K34" s="78">
        <v>0</v>
      </c>
      <c r="L34" s="78">
        <v>0</v>
      </c>
      <c r="M34" s="127">
        <v>0</v>
      </c>
      <c r="N34" s="78">
        <v>0</v>
      </c>
      <c r="O34" s="78">
        <v>0</v>
      </c>
      <c r="P34" s="78">
        <v>0</v>
      </c>
      <c r="Q34" s="278">
        <v>0</v>
      </c>
      <c r="R34" s="376">
        <v>0</v>
      </c>
      <c r="S34" s="376">
        <v>0</v>
      </c>
      <c r="T34" s="376">
        <v>0</v>
      </c>
      <c r="U34" s="278">
        <v>0</v>
      </c>
      <c r="V34" s="376">
        <v>0</v>
      </c>
      <c r="W34" s="376"/>
      <c r="X34" s="376"/>
      <c r="Y34" s="278"/>
    </row>
    <row r="35" spans="1:25" s="12" customFormat="1" ht="20.100000000000001" customHeight="1">
      <c r="A35" s="85" t="s">
        <v>17</v>
      </c>
      <c r="B35" s="399">
        <f>1305.277</f>
        <v>1305.277</v>
      </c>
      <c r="C35" s="78">
        <v>0</v>
      </c>
      <c r="D35" s="78">
        <v>0</v>
      </c>
      <c r="E35" s="127">
        <v>0</v>
      </c>
      <c r="F35" s="78">
        <v>0</v>
      </c>
      <c r="G35" s="78">
        <v>0</v>
      </c>
      <c r="H35" s="78">
        <v>0</v>
      </c>
      <c r="I35" s="110">
        <v>0</v>
      </c>
      <c r="J35" s="126">
        <v>0</v>
      </c>
      <c r="K35" s="78">
        <v>0</v>
      </c>
      <c r="L35" s="78">
        <v>0</v>
      </c>
      <c r="M35" s="127">
        <v>0</v>
      </c>
      <c r="N35" s="78">
        <v>0</v>
      </c>
      <c r="O35" s="78">
        <v>0</v>
      </c>
      <c r="P35" s="78">
        <v>0</v>
      </c>
      <c r="Q35" s="278">
        <v>0</v>
      </c>
      <c r="R35" s="376">
        <v>0</v>
      </c>
      <c r="S35" s="376">
        <v>0</v>
      </c>
      <c r="T35" s="376">
        <v>0</v>
      </c>
      <c r="U35" s="278">
        <v>0</v>
      </c>
      <c r="V35" s="376">
        <v>0</v>
      </c>
      <c r="W35" s="376"/>
      <c r="X35" s="376"/>
      <c r="Y35" s="278"/>
    </row>
    <row r="36" spans="1:25" s="12" customFormat="1" ht="20.100000000000001" customHeight="1">
      <c r="A36" s="85" t="s">
        <v>199</v>
      </c>
      <c r="B36" s="78">
        <v>0</v>
      </c>
      <c r="C36" s="69">
        <f t="shared" ref="C36:J36" si="13">(1295103)*0.001</f>
        <v>1295.1030000000001</v>
      </c>
      <c r="D36" s="69">
        <f t="shared" si="13"/>
        <v>1295.1030000000001</v>
      </c>
      <c r="E36" s="117">
        <f t="shared" si="13"/>
        <v>1295.1030000000001</v>
      </c>
      <c r="F36" s="69">
        <f t="shared" si="13"/>
        <v>1295.1030000000001</v>
      </c>
      <c r="G36" s="69">
        <f t="shared" si="13"/>
        <v>1295.1030000000001</v>
      </c>
      <c r="H36" s="69">
        <f t="shared" si="13"/>
        <v>1295.1030000000001</v>
      </c>
      <c r="I36" s="117">
        <f t="shared" si="13"/>
        <v>1295.1030000000001</v>
      </c>
      <c r="J36" s="69">
        <f t="shared" si="13"/>
        <v>1295.1030000000001</v>
      </c>
      <c r="K36" s="95">
        <v>7237.5</v>
      </c>
      <c r="L36" s="95">
        <v>7237.5</v>
      </c>
      <c r="M36" s="128">
        <v>7174</v>
      </c>
      <c r="N36" s="68">
        <v>7237.4</v>
      </c>
      <c r="O36" s="68">
        <v>7174</v>
      </c>
      <c r="P36" s="68">
        <v>7174</v>
      </c>
      <c r="Q36" s="278">
        <v>7174</v>
      </c>
      <c r="R36" s="368">
        <v>7174</v>
      </c>
      <c r="S36" s="368">
        <v>7174</v>
      </c>
      <c r="T36" s="368">
        <v>7174</v>
      </c>
      <c r="U36" s="278">
        <v>7174</v>
      </c>
      <c r="V36" s="368">
        <v>7174</v>
      </c>
      <c r="W36" s="368"/>
      <c r="X36" s="368"/>
      <c r="Y36" s="278"/>
    </row>
    <row r="37" spans="1:25" s="12" customFormat="1" ht="20.100000000000001" customHeight="1">
      <c r="A37" s="85" t="s">
        <v>59</v>
      </c>
      <c r="B37" s="407">
        <f>-3.17</f>
        <v>-3.17</v>
      </c>
      <c r="C37" s="78">
        <v>0</v>
      </c>
      <c r="D37" s="78">
        <v>0</v>
      </c>
      <c r="E37" s="127">
        <v>0</v>
      </c>
      <c r="F37" s="78">
        <v>0</v>
      </c>
      <c r="G37" s="78">
        <v>0</v>
      </c>
      <c r="H37" s="78">
        <v>0</v>
      </c>
      <c r="I37" s="110">
        <v>0</v>
      </c>
      <c r="J37" s="126">
        <v>0</v>
      </c>
      <c r="K37" s="78">
        <v>0</v>
      </c>
      <c r="L37" s="78">
        <v>0</v>
      </c>
      <c r="M37" s="127">
        <v>0</v>
      </c>
      <c r="N37" s="78">
        <v>0</v>
      </c>
      <c r="O37" s="78">
        <v>0</v>
      </c>
      <c r="P37" s="78">
        <v>0</v>
      </c>
      <c r="Q37" s="278">
        <v>0</v>
      </c>
      <c r="R37" s="376">
        <v>0</v>
      </c>
      <c r="S37" s="376">
        <v>0</v>
      </c>
      <c r="T37" s="376">
        <v>0</v>
      </c>
      <c r="U37" s="278">
        <v>0</v>
      </c>
      <c r="V37" s="376">
        <v>0</v>
      </c>
      <c r="W37" s="376"/>
      <c r="X37" s="376"/>
      <c r="Y37" s="278"/>
    </row>
    <row r="38" spans="1:25" s="12" customFormat="1" ht="20.100000000000001" customHeight="1">
      <c r="A38" s="85" t="s">
        <v>60</v>
      </c>
      <c r="B38" s="399">
        <f>2.396</f>
        <v>2.3959999999999999</v>
      </c>
      <c r="C38" s="78">
        <v>0</v>
      </c>
      <c r="D38" s="78">
        <v>0</v>
      </c>
      <c r="E38" s="127">
        <v>0</v>
      </c>
      <c r="F38" s="78">
        <v>0</v>
      </c>
      <c r="G38" s="78">
        <v>0</v>
      </c>
      <c r="H38" s="78">
        <v>0</v>
      </c>
      <c r="I38" s="110">
        <v>0</v>
      </c>
      <c r="J38" s="126">
        <v>0</v>
      </c>
      <c r="K38" s="78">
        <v>0</v>
      </c>
      <c r="L38" s="78">
        <v>0</v>
      </c>
      <c r="M38" s="127">
        <v>0</v>
      </c>
      <c r="N38" s="78">
        <v>0</v>
      </c>
      <c r="O38" s="78">
        <v>0</v>
      </c>
      <c r="P38" s="78">
        <v>0</v>
      </c>
      <c r="Q38" s="278">
        <v>0</v>
      </c>
      <c r="R38" s="376">
        <v>0</v>
      </c>
      <c r="S38" s="376">
        <v>0</v>
      </c>
      <c r="T38" s="376">
        <v>0</v>
      </c>
      <c r="U38" s="278">
        <v>0</v>
      </c>
      <c r="V38" s="376">
        <v>0</v>
      </c>
      <c r="W38" s="376"/>
      <c r="X38" s="376"/>
      <c r="Y38" s="278"/>
    </row>
    <row r="39" spans="1:25" s="12" customFormat="1" ht="20.100000000000001" customHeight="1">
      <c r="A39" s="85" t="s">
        <v>200</v>
      </c>
      <c r="B39" s="78">
        <v>0</v>
      </c>
      <c r="C39" s="399">
        <f>(1225)*0.001</f>
        <v>1.2250000000000001</v>
      </c>
      <c r="D39" s="399">
        <f>(-8191)*0.001</f>
        <v>-8.1910000000000007</v>
      </c>
      <c r="E39" s="400">
        <f>(-16327)*0.001</f>
        <v>-16.327000000000002</v>
      </c>
      <c r="F39" s="399">
        <f>(-17667)*0.001</f>
        <v>-17.667000000000002</v>
      </c>
      <c r="G39" s="399">
        <f>(-13285)*0.001</f>
        <v>-13.285</v>
      </c>
      <c r="H39" s="399">
        <f>(-11455)*0.001</f>
        <v>-11.455</v>
      </c>
      <c r="I39" s="401">
        <f>(-8964)*0.001</f>
        <v>-8.9640000000000004</v>
      </c>
      <c r="J39" s="126">
        <v>0</v>
      </c>
      <c r="K39" s="78">
        <v>0</v>
      </c>
      <c r="L39" s="96">
        <v>-9.1999999999999993</v>
      </c>
      <c r="M39" s="129">
        <v>-12.2</v>
      </c>
      <c r="N39" s="96">
        <v>-12.7</v>
      </c>
      <c r="O39" s="96">
        <v>-7.9</v>
      </c>
      <c r="P39" s="96">
        <v>-8.1999999999999993</v>
      </c>
      <c r="Q39" s="278">
        <v>-3.7</v>
      </c>
      <c r="R39" s="377">
        <v>-1.7</v>
      </c>
      <c r="S39" s="377">
        <v>0.1</v>
      </c>
      <c r="T39" s="377">
        <v>2.2000000000000002</v>
      </c>
      <c r="U39" s="278">
        <v>4.5</v>
      </c>
      <c r="V39" s="377">
        <v>3.8</v>
      </c>
      <c r="W39" s="377"/>
      <c r="X39" s="377"/>
      <c r="Y39" s="278"/>
    </row>
    <row r="40" spans="1:25" s="12" customFormat="1" ht="20.100000000000001" customHeight="1" thickBot="1">
      <c r="A40" s="85" t="s">
        <v>246</v>
      </c>
      <c r="B40" s="399">
        <f>340.065</f>
        <v>340.065</v>
      </c>
      <c r="C40" s="399">
        <f>(882007)*0.001</f>
        <v>882.00700000000006</v>
      </c>
      <c r="D40" s="408">
        <f>(1054069)*0.001</f>
        <v>1054.069</v>
      </c>
      <c r="E40" s="409">
        <f>(1175693)*0.001</f>
        <v>1175.693</v>
      </c>
      <c r="F40" s="408">
        <f>(1270798)*0.001</f>
        <v>1270.798</v>
      </c>
      <c r="G40" s="408">
        <f>(1351543)*0.001</f>
        <v>1351.5430000000001</v>
      </c>
      <c r="H40" s="408">
        <f>(1527994)*0.001</f>
        <v>1527.9940000000001</v>
      </c>
      <c r="I40" s="409">
        <f>(1701138)*0.001</f>
        <v>1701.1380000000001</v>
      </c>
      <c r="J40" s="408">
        <f>(1799310)*0.001</f>
        <v>1799.31</v>
      </c>
      <c r="K40" s="95">
        <v>1828.6</v>
      </c>
      <c r="L40" s="95">
        <v>1876.8</v>
      </c>
      <c r="M40" s="130">
        <v>1890.8</v>
      </c>
      <c r="N40" s="95">
        <v>2061.6</v>
      </c>
      <c r="O40" s="95">
        <v>2366.1</v>
      </c>
      <c r="P40" s="95">
        <v>2868.6</v>
      </c>
      <c r="Q40" s="278">
        <v>3054.2</v>
      </c>
      <c r="R40" s="377">
        <v>3229.7</v>
      </c>
      <c r="S40" s="377">
        <v>3467.4</v>
      </c>
      <c r="T40" s="377">
        <v>3745.6</v>
      </c>
      <c r="U40" s="278">
        <v>4095.5</v>
      </c>
      <c r="V40" s="377">
        <v>4374.8999999999996</v>
      </c>
      <c r="W40" s="377"/>
      <c r="X40" s="377"/>
      <c r="Y40" s="278"/>
    </row>
    <row r="41" spans="1:25" s="15" customFormat="1" ht="24.95" customHeight="1" thickBot="1">
      <c r="A41" s="13" t="s">
        <v>76</v>
      </c>
      <c r="B41" s="88">
        <f t="shared" ref="B41:C41" si="14">SUM(B33:B40)</f>
        <v>2090.7669999999998</v>
      </c>
      <c r="C41" s="88">
        <f t="shared" si="14"/>
        <v>2192.2690000000002</v>
      </c>
      <c r="D41" s="88">
        <f t="shared" ref="D41:H41" si="15">SUM(D33:D40)</f>
        <v>2354.915</v>
      </c>
      <c r="E41" s="88">
        <f t="shared" si="15"/>
        <v>2468.4030000000002</v>
      </c>
      <c r="F41" s="88">
        <f t="shared" si="15"/>
        <v>2562.1680000000001</v>
      </c>
      <c r="G41" s="88">
        <f t="shared" si="15"/>
        <v>2647.2950000000001</v>
      </c>
      <c r="H41" s="88">
        <f t="shared" si="15"/>
        <v>2825.576</v>
      </c>
      <c r="I41" s="88">
        <f t="shared" ref="I41:J41" si="16">SUM(I33:I40)</f>
        <v>3001.2110000000002</v>
      </c>
      <c r="J41" s="88">
        <f t="shared" si="16"/>
        <v>3108.3469999999998</v>
      </c>
      <c r="K41" s="88">
        <f t="shared" ref="K41:Q41" si="17">SUM(K33:K40)</f>
        <v>9091.7000000000007</v>
      </c>
      <c r="L41" s="88">
        <f t="shared" si="17"/>
        <v>9130.7000000000007</v>
      </c>
      <c r="M41" s="111">
        <f t="shared" si="17"/>
        <v>9078.2000000000007</v>
      </c>
      <c r="N41" s="89">
        <f t="shared" si="17"/>
        <v>9311.9</v>
      </c>
      <c r="O41" s="89">
        <f t="shared" si="17"/>
        <v>9557.8000000000011</v>
      </c>
      <c r="P41" s="89">
        <f t="shared" si="17"/>
        <v>10060</v>
      </c>
      <c r="Q41" s="283">
        <f t="shared" si="17"/>
        <v>10250.1</v>
      </c>
      <c r="R41" s="372">
        <f t="shared" ref="R41:V41" si="18">SUM(R33:R40)</f>
        <v>10427.6</v>
      </c>
      <c r="S41" s="372">
        <f t="shared" si="18"/>
        <v>10667.1</v>
      </c>
      <c r="T41" s="372">
        <f t="shared" si="18"/>
        <v>10947.4</v>
      </c>
      <c r="U41" s="283">
        <f t="shared" si="18"/>
        <v>11299.6</v>
      </c>
      <c r="V41" s="372">
        <f t="shared" si="18"/>
        <v>11578.3</v>
      </c>
      <c r="W41" s="372"/>
      <c r="X41" s="372"/>
      <c r="Y41" s="283"/>
    </row>
    <row r="42" spans="1:25" s="15" customFormat="1" ht="20.100000000000001" customHeight="1" thickBot="1">
      <c r="A42" s="104" t="s">
        <v>75</v>
      </c>
      <c r="B42" s="78">
        <v>0</v>
      </c>
      <c r="C42" s="78">
        <v>0</v>
      </c>
      <c r="D42" s="78">
        <v>0</v>
      </c>
      <c r="E42" s="127">
        <v>0</v>
      </c>
      <c r="F42" s="78">
        <v>0</v>
      </c>
      <c r="G42" s="78">
        <v>0</v>
      </c>
      <c r="H42" s="410">
        <f>2/1000</f>
        <v>2E-3</v>
      </c>
      <c r="I42" s="411">
        <f>2/1000</f>
        <v>2E-3</v>
      </c>
      <c r="J42" s="412">
        <f>2/1000</f>
        <v>2E-3</v>
      </c>
      <c r="K42" s="82">
        <v>0</v>
      </c>
      <c r="L42" s="82">
        <v>0</v>
      </c>
      <c r="M42" s="127">
        <v>0</v>
      </c>
      <c r="N42" s="82">
        <v>0</v>
      </c>
      <c r="O42" s="82">
        <v>0</v>
      </c>
      <c r="P42" s="82">
        <v>0</v>
      </c>
      <c r="Q42" s="284">
        <v>0</v>
      </c>
      <c r="R42" s="378">
        <v>-22.4</v>
      </c>
      <c r="S42" s="378">
        <v>94.5</v>
      </c>
      <c r="T42" s="378">
        <v>86.1</v>
      </c>
      <c r="U42" s="284">
        <v>78</v>
      </c>
      <c r="V42" s="378">
        <v>70</v>
      </c>
      <c r="W42" s="378"/>
      <c r="X42" s="378"/>
      <c r="Y42" s="284"/>
    </row>
    <row r="43" spans="1:25" s="15" customFormat="1" ht="24.95" customHeight="1" thickBot="1">
      <c r="A43" s="13" t="s">
        <v>18</v>
      </c>
      <c r="B43" s="89">
        <f t="shared" ref="B43" si="19">B41+B42</f>
        <v>2090.7669999999998</v>
      </c>
      <c r="C43" s="89">
        <f t="shared" ref="C43" si="20">C41+C42</f>
        <v>2192.2690000000002</v>
      </c>
      <c r="D43" s="89">
        <f t="shared" ref="D43" si="21">D41+D42</f>
        <v>2354.915</v>
      </c>
      <c r="E43" s="111">
        <f t="shared" ref="E43:G43" si="22">E41</f>
        <v>2468.4030000000002</v>
      </c>
      <c r="F43" s="89">
        <f t="shared" si="22"/>
        <v>2562.1680000000001</v>
      </c>
      <c r="G43" s="89">
        <f t="shared" si="22"/>
        <v>2647.2950000000001</v>
      </c>
      <c r="H43" s="89">
        <f>SUM(H41:H42)</f>
        <v>2825.578</v>
      </c>
      <c r="I43" s="89">
        <f t="shared" ref="I43:O43" si="23">I41+I42</f>
        <v>3001.2130000000002</v>
      </c>
      <c r="J43" s="396">
        <f t="shared" si="23"/>
        <v>3108.3489999999997</v>
      </c>
      <c r="K43" s="88">
        <f t="shared" si="23"/>
        <v>9091.7000000000007</v>
      </c>
      <c r="L43" s="88">
        <f t="shared" si="23"/>
        <v>9130.7000000000007</v>
      </c>
      <c r="M43" s="111">
        <f t="shared" si="23"/>
        <v>9078.2000000000007</v>
      </c>
      <c r="N43" s="89">
        <f t="shared" si="23"/>
        <v>9311.9</v>
      </c>
      <c r="O43" s="89">
        <f t="shared" si="23"/>
        <v>9557.8000000000011</v>
      </c>
      <c r="P43" s="89">
        <f t="shared" ref="P43:R43" si="24">P41+P42</f>
        <v>10060</v>
      </c>
      <c r="Q43" s="283">
        <f t="shared" si="24"/>
        <v>10250.1</v>
      </c>
      <c r="R43" s="372">
        <f t="shared" si="24"/>
        <v>10405.200000000001</v>
      </c>
      <c r="S43" s="372">
        <f t="shared" ref="S43:V43" si="25">S41+S42</f>
        <v>10761.6</v>
      </c>
      <c r="T43" s="372">
        <f t="shared" si="25"/>
        <v>11033.5</v>
      </c>
      <c r="U43" s="283">
        <f t="shared" si="25"/>
        <v>11377.6</v>
      </c>
      <c r="V43" s="372">
        <f t="shared" si="25"/>
        <v>11648.3</v>
      </c>
      <c r="W43" s="372"/>
      <c r="X43" s="372"/>
      <c r="Y43" s="283"/>
    </row>
    <row r="44" spans="1:25" s="12" customFormat="1" ht="20.100000000000001" customHeight="1">
      <c r="A44" s="85" t="s">
        <v>19</v>
      </c>
      <c r="B44" s="96">
        <f>932.068</f>
        <v>932.06799999999998</v>
      </c>
      <c r="C44" s="96">
        <f>(889155)*0.001</f>
        <v>889.15499999999997</v>
      </c>
      <c r="D44" s="96">
        <f>(680371)*0.001</f>
        <v>680.37099999999998</v>
      </c>
      <c r="E44" s="393">
        <f>(592003)*0.001</f>
        <v>592.00300000000004</v>
      </c>
      <c r="F44" s="96">
        <f>(572819)*0.001</f>
        <v>572.81899999999996</v>
      </c>
      <c r="G44" s="96">
        <f>(422858)*0.001</f>
        <v>422.858</v>
      </c>
      <c r="H44" s="96">
        <f>(329798)*0.001</f>
        <v>329.798</v>
      </c>
      <c r="I44" s="394">
        <f>(239889)*0.001</f>
        <v>239.88900000000001</v>
      </c>
      <c r="J44" s="395">
        <f>(236277)*0.001</f>
        <v>236.27700000000002</v>
      </c>
      <c r="K44" s="69">
        <v>8446.1</v>
      </c>
      <c r="L44" s="69">
        <v>7976.3</v>
      </c>
      <c r="M44" s="128">
        <v>7683.5</v>
      </c>
      <c r="N44" s="95">
        <v>7357.9</v>
      </c>
      <c r="O44" s="95">
        <v>7034.6</v>
      </c>
      <c r="P44" s="69">
        <v>5644.9</v>
      </c>
      <c r="Q44" s="284">
        <v>5379.8</v>
      </c>
      <c r="R44" s="377">
        <v>9982.1</v>
      </c>
      <c r="S44" s="377">
        <v>9752</v>
      </c>
      <c r="T44" s="377">
        <v>9530.2999999999993</v>
      </c>
      <c r="U44" s="284">
        <v>9302.7000000000007</v>
      </c>
      <c r="V44" s="377">
        <v>9056</v>
      </c>
      <c r="W44" s="377"/>
      <c r="X44" s="377"/>
      <c r="Y44" s="284"/>
    </row>
    <row r="45" spans="1:25" s="12" customFormat="1" ht="20.100000000000001" customHeight="1">
      <c r="A45" s="85" t="s">
        <v>90</v>
      </c>
      <c r="B45" s="69">
        <f>1360.637</f>
        <v>1360.6369999999999</v>
      </c>
      <c r="C45" s="69">
        <f>(1369593)*0.001</f>
        <v>1369.5930000000001</v>
      </c>
      <c r="D45" s="69">
        <f>(1347224)*0.001</f>
        <v>1347.2239999999999</v>
      </c>
      <c r="E45" s="117">
        <f>(1316479)*0.001</f>
        <v>1316.479</v>
      </c>
      <c r="F45" s="69">
        <f>(1370119)*0.001</f>
        <v>1370.1190000000001</v>
      </c>
      <c r="G45" s="69">
        <f>(1395972)*0.001</f>
        <v>1395.972</v>
      </c>
      <c r="H45" s="69">
        <f>(1385314)*0.001</f>
        <v>1385.3140000000001</v>
      </c>
      <c r="I45" s="117">
        <f>(1340010)*0.001</f>
        <v>1340.01</v>
      </c>
      <c r="J45" s="69">
        <f>(1396071)*0.001</f>
        <v>1396.0710000000001</v>
      </c>
      <c r="K45" s="69">
        <v>4286.8999999999996</v>
      </c>
      <c r="L45" s="69">
        <v>4302.1000000000004</v>
      </c>
      <c r="M45" s="128">
        <v>4550.2</v>
      </c>
      <c r="N45" s="95">
        <v>4470</v>
      </c>
      <c r="O45" s="95">
        <v>4582.5</v>
      </c>
      <c r="P45" s="69">
        <v>964.4</v>
      </c>
      <c r="Q45" s="284">
        <v>975.3</v>
      </c>
      <c r="R45" s="377">
        <v>2252.6</v>
      </c>
      <c r="S45" s="377">
        <v>1795.1</v>
      </c>
      <c r="T45" s="377">
        <v>1805.1</v>
      </c>
      <c r="U45" s="284">
        <v>1835.7</v>
      </c>
      <c r="V45" s="377">
        <v>964.9</v>
      </c>
      <c r="W45" s="377"/>
      <c r="X45" s="377"/>
      <c r="Y45" s="284"/>
    </row>
    <row r="46" spans="1:25" s="12" customFormat="1" ht="20.100000000000001" customHeight="1">
      <c r="A46" s="85" t="s">
        <v>20</v>
      </c>
      <c r="B46" s="96">
        <f>0.81</f>
        <v>0.81</v>
      </c>
      <c r="C46" s="96">
        <f>(741)*0.001</f>
        <v>0.74099999999999999</v>
      </c>
      <c r="D46" s="96">
        <f>(638)*0.001</f>
        <v>0.63800000000000001</v>
      </c>
      <c r="E46" s="393">
        <f>(551)*0.001</f>
        <v>0.55100000000000005</v>
      </c>
      <c r="F46" s="96">
        <f>(474)*0.001</f>
        <v>0.47400000000000003</v>
      </c>
      <c r="G46" s="96">
        <f>(424)*0.001</f>
        <v>0.42399999999999999</v>
      </c>
      <c r="H46" s="96">
        <f>(306)*0.001</f>
        <v>0.30599999999999999</v>
      </c>
      <c r="I46" s="394">
        <f>(227)*0.001</f>
        <v>0.22700000000000001</v>
      </c>
      <c r="J46" s="395">
        <f>(166)*0.001</f>
        <v>0.16600000000000001</v>
      </c>
      <c r="K46" s="68">
        <v>4.5</v>
      </c>
      <c r="L46" s="68">
        <v>7.9</v>
      </c>
      <c r="M46" s="130">
        <v>11.7</v>
      </c>
      <c r="N46" s="97">
        <v>13.4</v>
      </c>
      <c r="O46" s="97">
        <v>15.7</v>
      </c>
      <c r="P46" s="68">
        <v>21.3</v>
      </c>
      <c r="Q46" s="284">
        <v>20.9</v>
      </c>
      <c r="R46" s="368">
        <v>21.2</v>
      </c>
      <c r="S46" s="368">
        <v>23.3</v>
      </c>
      <c r="T46" s="368">
        <v>22.1</v>
      </c>
      <c r="U46" s="284">
        <v>20.9</v>
      </c>
      <c r="V46" s="368">
        <v>22.6</v>
      </c>
      <c r="W46" s="368"/>
      <c r="X46" s="368"/>
      <c r="Y46" s="284"/>
    </row>
    <row r="47" spans="1:25" s="12" customFormat="1" ht="20.100000000000001" customHeight="1">
      <c r="A47" s="85" t="s">
        <v>201</v>
      </c>
      <c r="B47" s="70">
        <f>0*($A$71)</f>
        <v>0</v>
      </c>
      <c r="C47" s="70">
        <f>0</f>
        <v>0</v>
      </c>
      <c r="D47" s="70">
        <f>0</f>
        <v>0</v>
      </c>
      <c r="E47" s="134">
        <v>0</v>
      </c>
      <c r="F47" s="70">
        <v>0</v>
      </c>
      <c r="G47" s="70">
        <f>0</f>
        <v>0</v>
      </c>
      <c r="H47" s="70">
        <v>0</v>
      </c>
      <c r="I47" s="109">
        <v>0</v>
      </c>
      <c r="J47" s="118">
        <v>0</v>
      </c>
      <c r="K47" s="68">
        <v>835.8</v>
      </c>
      <c r="L47" s="68">
        <v>730.2</v>
      </c>
      <c r="M47" s="130">
        <v>750.3</v>
      </c>
      <c r="N47" s="97">
        <v>724.4</v>
      </c>
      <c r="O47" s="97">
        <v>747.9</v>
      </c>
      <c r="P47" s="68">
        <v>645.1</v>
      </c>
      <c r="Q47" s="284">
        <v>652.79999999999995</v>
      </c>
      <c r="R47" s="368">
        <v>658</v>
      </c>
      <c r="S47" s="368">
        <v>686.7</v>
      </c>
      <c r="T47" s="368">
        <v>555.79999999999995</v>
      </c>
      <c r="U47" s="284">
        <v>574</v>
      </c>
      <c r="V47" s="368">
        <v>551</v>
      </c>
      <c r="W47" s="368"/>
      <c r="X47" s="368"/>
      <c r="Y47" s="284"/>
    </row>
    <row r="48" spans="1:25" s="12" customFormat="1" ht="20.100000000000001" customHeight="1">
      <c r="A48" s="85" t="s">
        <v>21</v>
      </c>
      <c r="B48" s="399">
        <f>87.307</f>
        <v>87.307000000000002</v>
      </c>
      <c r="C48" s="399">
        <f>(88480)*0.001</f>
        <v>88.48</v>
      </c>
      <c r="D48" s="399">
        <f>(97271)*0.001</f>
        <v>97.271000000000001</v>
      </c>
      <c r="E48" s="400">
        <f>(94258)*0.001</f>
        <v>94.257999999999996</v>
      </c>
      <c r="F48" s="399">
        <f>(93487)*0.001</f>
        <v>93.487000000000009</v>
      </c>
      <c r="G48" s="399">
        <f>(93150)*0.001</f>
        <v>93.15</v>
      </c>
      <c r="H48" s="399">
        <f>(98799)*0.001</f>
        <v>98.799000000000007</v>
      </c>
      <c r="I48" s="401">
        <f>(108066)*0.001</f>
        <v>108.066</v>
      </c>
      <c r="J48" s="402">
        <f>(95950)*0.001</f>
        <v>95.95</v>
      </c>
      <c r="K48" s="69">
        <v>1010.7</v>
      </c>
      <c r="L48" s="69">
        <v>1038.8</v>
      </c>
      <c r="M48" s="130">
        <v>908.7</v>
      </c>
      <c r="N48" s="97">
        <v>888.6</v>
      </c>
      <c r="O48" s="97">
        <v>821.1</v>
      </c>
      <c r="P48" s="69">
        <v>770.4</v>
      </c>
      <c r="Q48" s="284">
        <v>615.79999999999995</v>
      </c>
      <c r="R48" s="368">
        <v>694.4</v>
      </c>
      <c r="S48" s="368">
        <v>889.1</v>
      </c>
      <c r="T48" s="368">
        <v>923.2</v>
      </c>
      <c r="U48" s="284">
        <v>786.9</v>
      </c>
      <c r="V48" s="368">
        <v>812.3</v>
      </c>
      <c r="W48" s="368"/>
      <c r="X48" s="368"/>
      <c r="Y48" s="284"/>
    </row>
    <row r="49" spans="1:25" s="12" customFormat="1" ht="20.100000000000001" customHeight="1">
      <c r="A49" s="85" t="s">
        <v>202</v>
      </c>
      <c r="B49" s="78">
        <v>0</v>
      </c>
      <c r="C49" s="399">
        <f>(6285)*0.001</f>
        <v>6.2850000000000001</v>
      </c>
      <c r="D49" s="399">
        <f>(5716)*0.001</f>
        <v>5.7160000000000002</v>
      </c>
      <c r="E49" s="400">
        <f>(5181)*0.001</f>
        <v>5.181</v>
      </c>
      <c r="F49" s="399">
        <f>(4978)*0.001</f>
        <v>4.9779999999999998</v>
      </c>
      <c r="G49" s="399">
        <f>(4754)*0.001</f>
        <v>4.7540000000000004</v>
      </c>
      <c r="H49" s="399">
        <f>(4303)*0.001</f>
        <v>4.3029999999999999</v>
      </c>
      <c r="I49" s="401">
        <f>(4079)*0.001</f>
        <v>4.0789999999999997</v>
      </c>
      <c r="J49" s="402">
        <f>(3008)*0.001</f>
        <v>3.008</v>
      </c>
      <c r="K49" s="68">
        <v>2.8</v>
      </c>
      <c r="L49" s="68">
        <v>3.9</v>
      </c>
      <c r="M49" s="130">
        <v>4.7</v>
      </c>
      <c r="N49" s="97">
        <v>5.5</v>
      </c>
      <c r="O49" s="97">
        <v>5</v>
      </c>
      <c r="P49" s="68">
        <v>4.5</v>
      </c>
      <c r="Q49" s="284">
        <v>4.7</v>
      </c>
      <c r="R49" s="368">
        <v>22.1</v>
      </c>
      <c r="S49" s="368">
        <v>21</v>
      </c>
      <c r="T49" s="368">
        <v>20.100000000000001</v>
      </c>
      <c r="U49" s="284">
        <v>20.100000000000001</v>
      </c>
      <c r="V49" s="368">
        <v>4</v>
      </c>
      <c r="W49" s="368"/>
      <c r="X49" s="368"/>
      <c r="Y49" s="284"/>
    </row>
    <row r="50" spans="1:25" s="12" customFormat="1" ht="20.100000000000001" customHeight="1">
      <c r="A50" s="85" t="s">
        <v>22</v>
      </c>
      <c r="B50" s="399">
        <f>13.779</f>
        <v>13.779</v>
      </c>
      <c r="C50" s="399">
        <f>(17835)*0.001</f>
        <v>17.835000000000001</v>
      </c>
      <c r="D50" s="399">
        <f>(19037)*0.001</f>
        <v>19.036999999999999</v>
      </c>
      <c r="E50" s="400">
        <f>(17690)*0.001</f>
        <v>17.690000000000001</v>
      </c>
      <c r="F50" s="399">
        <f>(17684)*0.001</f>
        <v>17.684000000000001</v>
      </c>
      <c r="G50" s="399">
        <f>(10154)*0.001</f>
        <v>10.154</v>
      </c>
      <c r="H50" s="399">
        <f>(8594)*0.001</f>
        <v>8.5939999999999994</v>
      </c>
      <c r="I50" s="401">
        <f>(7915)*0.001</f>
        <v>7.915</v>
      </c>
      <c r="J50" s="402">
        <f>(7828)*0.001</f>
        <v>7.8280000000000003</v>
      </c>
      <c r="K50" s="68">
        <v>158.19999999999999</v>
      </c>
      <c r="L50" s="68">
        <v>164.6</v>
      </c>
      <c r="M50" s="130">
        <v>184.2</v>
      </c>
      <c r="N50" s="97">
        <v>167.4</v>
      </c>
      <c r="O50" s="97">
        <v>132.4</v>
      </c>
      <c r="P50" s="68">
        <v>133.1</v>
      </c>
      <c r="Q50" s="284">
        <v>124.2</v>
      </c>
      <c r="R50" s="368">
        <v>157.30000000000001</v>
      </c>
      <c r="S50" s="368">
        <v>148.9</v>
      </c>
      <c r="T50" s="368">
        <v>148.19999999999999</v>
      </c>
      <c r="U50" s="284">
        <v>130.19999999999999</v>
      </c>
      <c r="V50" s="368">
        <v>128.1</v>
      </c>
      <c r="W50" s="368"/>
      <c r="X50" s="368"/>
      <c r="Y50" s="284"/>
    </row>
    <row r="51" spans="1:25" s="65" customFormat="1" ht="20.100000000000001" customHeight="1" thickBot="1">
      <c r="A51" s="90" t="s">
        <v>100</v>
      </c>
      <c r="B51" s="70">
        <f>0*($A$71)</f>
        <v>0</v>
      </c>
      <c r="C51" s="70">
        <f>0</f>
        <v>0</v>
      </c>
      <c r="D51" s="70">
        <f>0</f>
        <v>0</v>
      </c>
      <c r="E51" s="134">
        <v>0</v>
      </c>
      <c r="F51" s="70">
        <v>0</v>
      </c>
      <c r="G51" s="70">
        <f>0</f>
        <v>0</v>
      </c>
      <c r="H51" s="70">
        <v>0</v>
      </c>
      <c r="I51" s="131">
        <v>0.1</v>
      </c>
      <c r="J51" s="118">
        <v>0</v>
      </c>
      <c r="K51" s="70">
        <f>0*($A$71)</f>
        <v>0</v>
      </c>
      <c r="L51" s="70">
        <f>0*($A$71)</f>
        <v>0</v>
      </c>
      <c r="M51" s="131">
        <v>40.1</v>
      </c>
      <c r="N51" s="98">
        <v>22.6</v>
      </c>
      <c r="O51" s="98">
        <v>2</v>
      </c>
      <c r="P51" s="79">
        <v>1.9</v>
      </c>
      <c r="Q51" s="284">
        <v>0</v>
      </c>
      <c r="R51" s="370">
        <v>1.1000000000000001</v>
      </c>
      <c r="S51" s="370">
        <v>0.9</v>
      </c>
      <c r="T51" s="370">
        <v>0</v>
      </c>
      <c r="U51" s="284">
        <v>0</v>
      </c>
      <c r="V51" s="370">
        <v>1.5</v>
      </c>
      <c r="W51" s="370"/>
      <c r="X51" s="370"/>
      <c r="Y51" s="284"/>
    </row>
    <row r="52" spans="1:25" s="15" customFormat="1" ht="24.95" customHeight="1" thickBot="1">
      <c r="A52" s="13" t="s">
        <v>23</v>
      </c>
      <c r="B52" s="89">
        <f t="shared" ref="B52" si="26">SUM(B44:B50)</f>
        <v>2394.6009999999997</v>
      </c>
      <c r="C52" s="89">
        <f t="shared" ref="C52" si="27">SUM(C44:C50)</f>
        <v>2372.0889999999999</v>
      </c>
      <c r="D52" s="89">
        <f t="shared" ref="D52" si="28">SUM(D44:D50)</f>
        <v>2150.2569999999996</v>
      </c>
      <c r="E52" s="111">
        <f t="shared" ref="E52:H52" si="29">SUM(E44:E50)</f>
        <v>2026.162</v>
      </c>
      <c r="F52" s="89">
        <f t="shared" si="29"/>
        <v>2059.5610000000001</v>
      </c>
      <c r="G52" s="89">
        <f t="shared" si="29"/>
        <v>1927.3119999999999</v>
      </c>
      <c r="H52" s="89">
        <f t="shared" si="29"/>
        <v>1827.1140000000003</v>
      </c>
      <c r="I52" s="89">
        <f t="shared" ref="I52:J52" si="30">SUM(I44:I50)</f>
        <v>1700.1859999999999</v>
      </c>
      <c r="J52" s="396">
        <f t="shared" si="30"/>
        <v>1739.3000000000002</v>
      </c>
      <c r="K52" s="88">
        <f t="shared" ref="K52:L52" si="31">SUM(K44:K50)</f>
        <v>14745</v>
      </c>
      <c r="L52" s="88">
        <f t="shared" si="31"/>
        <v>14223.800000000001</v>
      </c>
      <c r="M52" s="111">
        <f t="shared" ref="M52:R52" si="32">SUM(M44:M51)-M51</f>
        <v>14093.300000000003</v>
      </c>
      <c r="N52" s="89">
        <f t="shared" si="32"/>
        <v>13627.199999999999</v>
      </c>
      <c r="O52" s="89">
        <f t="shared" si="32"/>
        <v>13339.2</v>
      </c>
      <c r="P52" s="89">
        <f t="shared" si="32"/>
        <v>8183.7</v>
      </c>
      <c r="Q52" s="283">
        <f t="shared" si="32"/>
        <v>7773.5</v>
      </c>
      <c r="R52" s="372">
        <f t="shared" si="32"/>
        <v>13787.7</v>
      </c>
      <c r="S52" s="372">
        <f t="shared" ref="S52:T52" si="33">SUM(S44:S51)-S51</f>
        <v>13316.1</v>
      </c>
      <c r="T52" s="372">
        <f t="shared" si="33"/>
        <v>13004.800000000001</v>
      </c>
      <c r="U52" s="283">
        <f t="shared" ref="U52" si="34">SUM(U44:U51)-U51</f>
        <v>12670.500000000002</v>
      </c>
      <c r="V52" s="372">
        <f t="shared" ref="V52" si="35">SUM(V44:V51)-V51</f>
        <v>11538.9</v>
      </c>
      <c r="W52" s="372"/>
      <c r="X52" s="372"/>
      <c r="Y52" s="283"/>
    </row>
    <row r="53" spans="1:25" s="12" customFormat="1" ht="20.100000000000001" customHeight="1">
      <c r="A53" s="85" t="s">
        <v>19</v>
      </c>
      <c r="B53" s="399">
        <f>250.363</f>
        <v>250.363</v>
      </c>
      <c r="C53" s="399">
        <f>(265796)*0.001</f>
        <v>265.79599999999999</v>
      </c>
      <c r="D53" s="399">
        <f>(238676)*0.001</f>
        <v>238.67600000000002</v>
      </c>
      <c r="E53" s="400">
        <f>(275608)*0.001</f>
        <v>275.608</v>
      </c>
      <c r="F53" s="399">
        <f>(250329)*0.001</f>
        <v>250.32900000000001</v>
      </c>
      <c r="G53" s="399">
        <f>(263389)*0.001</f>
        <v>263.38900000000001</v>
      </c>
      <c r="H53" s="399">
        <f>(214673)*0.001</f>
        <v>214.673</v>
      </c>
      <c r="I53" s="401">
        <f>(245994)*0.001</f>
        <v>245.994</v>
      </c>
      <c r="J53" s="402">
        <f>(240921)*0.001</f>
        <v>240.92099999999999</v>
      </c>
      <c r="K53" s="69">
        <v>1094.3</v>
      </c>
      <c r="L53" s="69">
        <v>1365.1</v>
      </c>
      <c r="M53" s="128">
        <v>1322.6</v>
      </c>
      <c r="N53" s="95">
        <v>1543.9</v>
      </c>
      <c r="O53" s="95">
        <v>1169.9000000000001</v>
      </c>
      <c r="P53" s="69">
        <v>963.7</v>
      </c>
      <c r="Q53" s="284">
        <v>1230.9000000000001</v>
      </c>
      <c r="R53" s="377">
        <v>1593</v>
      </c>
      <c r="S53" s="377">
        <v>1251.3</v>
      </c>
      <c r="T53" s="377">
        <v>1269.4000000000001</v>
      </c>
      <c r="U53" s="284">
        <v>1270</v>
      </c>
      <c r="V53" s="377">
        <v>1286.8</v>
      </c>
      <c r="W53" s="377"/>
      <c r="X53" s="377"/>
      <c r="Y53" s="284"/>
    </row>
    <row r="54" spans="1:25" s="12" customFormat="1" ht="20.100000000000001" customHeight="1">
      <c r="A54" s="85" t="s">
        <v>90</v>
      </c>
      <c r="B54" s="399">
        <f>100.836</f>
        <v>100.836</v>
      </c>
      <c r="C54" s="399">
        <f>(101342)*0.001</f>
        <v>101.342</v>
      </c>
      <c r="D54" s="399">
        <f>(99687)*0.001</f>
        <v>99.686999999999998</v>
      </c>
      <c r="E54" s="400">
        <f>(97256)*0.001</f>
        <v>97.256</v>
      </c>
      <c r="F54" s="399">
        <f>(101219)*0.001</f>
        <v>101.21900000000001</v>
      </c>
      <c r="G54" s="399">
        <f>(102957)*0.001</f>
        <v>102.95700000000001</v>
      </c>
      <c r="H54" s="399">
        <f>(102171)*0.001</f>
        <v>102.17100000000001</v>
      </c>
      <c r="I54" s="401">
        <f>(98659)*0.001</f>
        <v>98.659000000000006</v>
      </c>
      <c r="J54" s="402">
        <f>(101071)*0.001</f>
        <v>101.071</v>
      </c>
      <c r="K54" s="68">
        <v>431.9</v>
      </c>
      <c r="L54" s="68">
        <v>439.1</v>
      </c>
      <c r="M54" s="130">
        <v>464.4</v>
      </c>
      <c r="N54" s="97">
        <v>462.5</v>
      </c>
      <c r="O54" s="97">
        <v>479.4</v>
      </c>
      <c r="P54" s="68">
        <v>4607.5</v>
      </c>
      <c r="Q54" s="284">
        <v>4776.7</v>
      </c>
      <c r="R54" s="368">
        <v>41.5</v>
      </c>
      <c r="S54" s="368">
        <v>42.3</v>
      </c>
      <c r="T54" s="368">
        <v>41.9</v>
      </c>
      <c r="U54" s="284">
        <v>42.4</v>
      </c>
      <c r="V54" s="368">
        <v>981.4</v>
      </c>
      <c r="W54" s="368"/>
      <c r="X54" s="368"/>
      <c r="Y54" s="284"/>
    </row>
    <row r="55" spans="1:25" s="12" customFormat="1" ht="20.100000000000001" customHeight="1">
      <c r="A55" s="85" t="s">
        <v>20</v>
      </c>
      <c r="B55" s="399">
        <f>0.237</f>
        <v>0.23699999999999999</v>
      </c>
      <c r="C55" s="399">
        <f>(243)*0.001</f>
        <v>0.24299999999999999</v>
      </c>
      <c r="D55" s="399">
        <f>(234)*0.001</f>
        <v>0.23400000000000001</v>
      </c>
      <c r="E55" s="400">
        <f>(233)*0.001</f>
        <v>0.23300000000000001</v>
      </c>
      <c r="F55" s="399">
        <f>(238)*0.001</f>
        <v>0.23800000000000002</v>
      </c>
      <c r="G55" s="399">
        <f>(247)*0.001</f>
        <v>0.247</v>
      </c>
      <c r="H55" s="399">
        <f>(240)*0.001</f>
        <v>0.24</v>
      </c>
      <c r="I55" s="401">
        <f>(236)*0.001</f>
        <v>0.23600000000000002</v>
      </c>
      <c r="J55" s="402">
        <f>(237)*0.001</f>
        <v>0.23700000000000002</v>
      </c>
      <c r="K55" s="68">
        <v>5.3</v>
      </c>
      <c r="L55" s="68">
        <v>5.8</v>
      </c>
      <c r="M55" s="130">
        <v>6.8</v>
      </c>
      <c r="N55" s="97">
        <v>2.7</v>
      </c>
      <c r="O55" s="97">
        <v>3.7</v>
      </c>
      <c r="P55" s="68">
        <v>4.3</v>
      </c>
      <c r="Q55" s="284">
        <v>4.3</v>
      </c>
      <c r="R55" s="368">
        <v>4.5</v>
      </c>
      <c r="S55" s="368">
        <v>4.9000000000000004</v>
      </c>
      <c r="T55" s="368">
        <v>4.9000000000000004</v>
      </c>
      <c r="U55" s="284">
        <v>5</v>
      </c>
      <c r="V55" s="368">
        <v>5.2</v>
      </c>
      <c r="W55" s="368"/>
      <c r="X55" s="368"/>
      <c r="Y55" s="284"/>
    </row>
    <row r="56" spans="1:25" s="12" customFormat="1" ht="20.100000000000001" customHeight="1">
      <c r="A56" s="85" t="s">
        <v>201</v>
      </c>
      <c r="B56" s="71">
        <v>0</v>
      </c>
      <c r="C56" s="71">
        <v>0</v>
      </c>
      <c r="D56" s="71">
        <v>0</v>
      </c>
      <c r="E56" s="123">
        <v>0</v>
      </c>
      <c r="F56" s="71">
        <v>0</v>
      </c>
      <c r="G56" s="71">
        <v>0</v>
      </c>
      <c r="H56" s="71">
        <v>0</v>
      </c>
      <c r="I56" s="107">
        <v>0</v>
      </c>
      <c r="J56" s="132">
        <v>0</v>
      </c>
      <c r="K56" s="68">
        <v>115.8</v>
      </c>
      <c r="L56" s="68">
        <v>113.9</v>
      </c>
      <c r="M56" s="130">
        <v>117.1</v>
      </c>
      <c r="N56" s="97">
        <v>113</v>
      </c>
      <c r="O56" s="97">
        <v>116.7</v>
      </c>
      <c r="P56" s="68">
        <v>115.6</v>
      </c>
      <c r="Q56" s="284">
        <v>117</v>
      </c>
      <c r="R56" s="368">
        <v>118</v>
      </c>
      <c r="S56" s="368">
        <v>123.1</v>
      </c>
      <c r="T56" s="368">
        <v>117.7</v>
      </c>
      <c r="U56" s="284">
        <v>121.5</v>
      </c>
      <c r="V56" s="368">
        <v>116.6</v>
      </c>
      <c r="W56" s="368"/>
      <c r="X56" s="368"/>
      <c r="Y56" s="284"/>
    </row>
    <row r="57" spans="1:25" s="12" customFormat="1" ht="20.100000000000001" customHeight="1">
      <c r="A57" s="85" t="s">
        <v>25</v>
      </c>
      <c r="B57" s="399">
        <f>435.427</f>
        <v>435.42700000000002</v>
      </c>
      <c r="C57" s="399">
        <f>(436188)*0.001</f>
        <v>436.18799999999999</v>
      </c>
      <c r="D57" s="399">
        <f>(441676)*0.001</f>
        <v>441.67599999999999</v>
      </c>
      <c r="E57" s="400">
        <f>(472094)*0.001</f>
        <v>472.09399999999999</v>
      </c>
      <c r="F57" s="399">
        <f>(432897)*0.001</f>
        <v>432.89699999999999</v>
      </c>
      <c r="G57" s="399">
        <f>(428004)*0.001</f>
        <v>428.00400000000002</v>
      </c>
      <c r="H57" s="399">
        <f>(390829)*0.001</f>
        <v>390.82900000000001</v>
      </c>
      <c r="I57" s="401">
        <f>(413210)*0.001</f>
        <v>413.21000000000004</v>
      </c>
      <c r="J57" s="402">
        <f>(418100)*0.001</f>
        <v>418.1</v>
      </c>
      <c r="K57" s="69">
        <v>1618.8</v>
      </c>
      <c r="L57" s="69">
        <v>1505.3</v>
      </c>
      <c r="M57" s="128">
        <v>1523</v>
      </c>
      <c r="N57" s="95">
        <v>1333.5</v>
      </c>
      <c r="O57" s="95">
        <v>1670.4</v>
      </c>
      <c r="P57" s="69">
        <v>1431.5</v>
      </c>
      <c r="Q57" s="284">
        <v>1485.4</v>
      </c>
      <c r="R57" s="377">
        <v>1711.4</v>
      </c>
      <c r="S57" s="377">
        <v>1365.9</v>
      </c>
      <c r="T57" s="377">
        <v>1338.1</v>
      </c>
      <c r="U57" s="284">
        <v>1569.5</v>
      </c>
      <c r="V57" s="377">
        <v>1337.9</v>
      </c>
      <c r="W57" s="377"/>
      <c r="X57" s="377"/>
      <c r="Y57" s="284"/>
    </row>
    <row r="58" spans="1:25" s="65" customFormat="1" ht="20.100000000000001" customHeight="1">
      <c r="A58" s="90" t="s">
        <v>100</v>
      </c>
      <c r="B58" s="75">
        <v>0</v>
      </c>
      <c r="C58" s="75">
        <v>0</v>
      </c>
      <c r="D58" s="75">
        <v>0</v>
      </c>
      <c r="E58" s="133">
        <v>0</v>
      </c>
      <c r="F58" s="75">
        <v>0</v>
      </c>
      <c r="G58" s="75">
        <v>0</v>
      </c>
      <c r="H58" s="75">
        <v>0</v>
      </c>
      <c r="I58" s="131">
        <v>12</v>
      </c>
      <c r="J58" s="119">
        <v>0</v>
      </c>
      <c r="K58" s="75">
        <v>0</v>
      </c>
      <c r="L58" s="75">
        <v>0</v>
      </c>
      <c r="M58" s="131">
        <v>87</v>
      </c>
      <c r="N58" s="98">
        <v>99.7</v>
      </c>
      <c r="O58" s="98">
        <v>79</v>
      </c>
      <c r="P58" s="74">
        <v>57.1</v>
      </c>
      <c r="Q58" s="512">
        <v>72.900000000000006</v>
      </c>
      <c r="R58" s="370">
        <v>25.8</v>
      </c>
      <c r="S58" s="370">
        <v>3.5</v>
      </c>
      <c r="T58" s="370">
        <v>1.8</v>
      </c>
      <c r="U58" s="512">
        <v>0</v>
      </c>
      <c r="V58" s="370">
        <v>1.5</v>
      </c>
      <c r="W58" s="370"/>
      <c r="X58" s="370"/>
      <c r="Y58" s="512"/>
    </row>
    <row r="59" spans="1:25" s="12" customFormat="1" ht="20.100000000000001" customHeight="1">
      <c r="A59" s="85" t="s">
        <v>24</v>
      </c>
      <c r="B59" s="399">
        <f>29.589</f>
        <v>29.588999999999999</v>
      </c>
      <c r="C59" s="399">
        <f>(7799)*0.001</f>
        <v>7.7990000000000004</v>
      </c>
      <c r="D59" s="399">
        <f>(6782)*0.001</f>
        <v>6.782</v>
      </c>
      <c r="E59" s="400">
        <f>(7092)*0.001</f>
        <v>7.0920000000000005</v>
      </c>
      <c r="F59" s="399">
        <f>(1990)*0.001</f>
        <v>1.99</v>
      </c>
      <c r="G59" s="399">
        <f>(6510)*0.001</f>
        <v>6.51</v>
      </c>
      <c r="H59" s="399">
        <f>(14152)*0.001</f>
        <v>14.152000000000001</v>
      </c>
      <c r="I59" s="401">
        <f>(4520)*0.001</f>
        <v>4.5200000000000005</v>
      </c>
      <c r="J59" s="402">
        <f>(12203)*0.001</f>
        <v>12.202999999999999</v>
      </c>
      <c r="K59" s="68">
        <v>43.7</v>
      </c>
      <c r="L59" s="68">
        <v>22.1</v>
      </c>
      <c r="M59" s="130">
        <v>48.028993427171699</v>
      </c>
      <c r="N59" s="97">
        <v>22.5</v>
      </c>
      <c r="O59" s="97">
        <v>132.69999999999999</v>
      </c>
      <c r="P59" s="68">
        <v>96.3</v>
      </c>
      <c r="Q59" s="284">
        <v>176.1</v>
      </c>
      <c r="R59" s="368">
        <v>29.2</v>
      </c>
      <c r="S59" s="368">
        <v>39.1</v>
      </c>
      <c r="T59" s="368">
        <v>21.967722325707697</v>
      </c>
      <c r="U59" s="284">
        <v>24.9</v>
      </c>
      <c r="V59" s="368">
        <v>4.3</v>
      </c>
      <c r="W59" s="368"/>
      <c r="X59" s="368"/>
      <c r="Y59" s="284"/>
    </row>
    <row r="60" spans="1:25" s="12" customFormat="1" ht="20.100000000000001" customHeight="1">
      <c r="A60" s="85" t="s">
        <v>46</v>
      </c>
      <c r="B60" s="399">
        <f>12.532</f>
        <v>12.532</v>
      </c>
      <c r="C60" s="399">
        <f>(12125)*0.001</f>
        <v>12.125</v>
      </c>
      <c r="D60" s="399">
        <f>(12084)*0.001</f>
        <v>12.084</v>
      </c>
      <c r="E60" s="400">
        <f>(13259)*0.001</f>
        <v>13.259</v>
      </c>
      <c r="F60" s="399">
        <f>(13182)*0.001</f>
        <v>13.182</v>
      </c>
      <c r="G60" s="399">
        <f>(12551)*0.001</f>
        <v>12.551</v>
      </c>
      <c r="H60" s="399">
        <f>(12536)*0.001</f>
        <v>12.536</v>
      </c>
      <c r="I60" s="401">
        <f>(2727)*0.001</f>
        <v>2.7269999999999999</v>
      </c>
      <c r="J60" s="402">
        <f>(2843)*0.001</f>
        <v>2.843</v>
      </c>
      <c r="K60" s="68">
        <v>2.6</v>
      </c>
      <c r="L60" s="68">
        <v>2.7</v>
      </c>
      <c r="M60" s="130">
        <v>1.4</v>
      </c>
      <c r="N60" s="97">
        <v>1.4</v>
      </c>
      <c r="O60" s="83" t="s">
        <v>64</v>
      </c>
      <c r="P60" s="83" t="s">
        <v>64</v>
      </c>
      <c r="Q60" s="285" t="s">
        <v>64</v>
      </c>
      <c r="R60" s="379" t="s">
        <v>64</v>
      </c>
      <c r="S60" s="379" t="s">
        <v>64</v>
      </c>
      <c r="T60" s="379" t="s">
        <v>64</v>
      </c>
      <c r="U60" s="285" t="s">
        <v>64</v>
      </c>
      <c r="V60" s="379" t="s">
        <v>64</v>
      </c>
      <c r="W60" s="379"/>
      <c r="X60" s="379"/>
      <c r="Y60" s="285"/>
    </row>
    <row r="61" spans="1:25" s="12" customFormat="1" ht="20.100000000000001" customHeight="1" thickBot="1">
      <c r="A61" s="85" t="s">
        <v>202</v>
      </c>
      <c r="B61" s="399">
        <f>188.402</f>
        <v>188.40199999999999</v>
      </c>
      <c r="C61" s="399">
        <f>(209950)*0.001</f>
        <v>209.95000000000002</v>
      </c>
      <c r="D61" s="399">
        <f>(210563)*0.001</f>
        <v>210.56300000000002</v>
      </c>
      <c r="E61" s="400">
        <f>(201238)*0.001</f>
        <v>201.238</v>
      </c>
      <c r="F61" s="399">
        <f>(207890)*0.001</f>
        <v>207.89000000000001</v>
      </c>
      <c r="G61" s="399">
        <f>(204442)*0.001</f>
        <v>204.44200000000001</v>
      </c>
      <c r="H61" s="399">
        <f>(210688)*0.001</f>
        <v>210.68800000000002</v>
      </c>
      <c r="I61" s="401">
        <f>(209485)*0.001</f>
        <v>209.48500000000001</v>
      </c>
      <c r="J61" s="402">
        <f>(228170)*0.001</f>
        <v>228.17000000000002</v>
      </c>
      <c r="K61" s="68">
        <v>678</v>
      </c>
      <c r="L61" s="68">
        <v>672.7</v>
      </c>
      <c r="M61" s="130">
        <v>683.9</v>
      </c>
      <c r="N61" s="97">
        <v>670.3</v>
      </c>
      <c r="O61" s="97">
        <v>672</v>
      </c>
      <c r="P61" s="68">
        <v>680.9</v>
      </c>
      <c r="Q61" s="284">
        <v>676.1</v>
      </c>
      <c r="R61" s="368">
        <v>665</v>
      </c>
      <c r="S61" s="368">
        <v>676.8</v>
      </c>
      <c r="T61" s="368">
        <v>660.84343092999995</v>
      </c>
      <c r="U61" s="284">
        <v>647.9</v>
      </c>
      <c r="V61" s="368">
        <v>633.79999999999995</v>
      </c>
      <c r="W61" s="368"/>
      <c r="X61" s="368"/>
      <c r="Y61" s="284"/>
    </row>
    <row r="62" spans="1:25" s="15" customFormat="1" ht="24.95" customHeight="1" thickBot="1">
      <c r="A62" s="13" t="s">
        <v>26</v>
      </c>
      <c r="B62" s="89">
        <f t="shared" ref="B62:L62" si="36">SUM(B53:B61)</f>
        <v>1017.386</v>
      </c>
      <c r="C62" s="89">
        <f t="shared" si="36"/>
        <v>1033.443</v>
      </c>
      <c r="D62" s="89">
        <f t="shared" si="36"/>
        <v>1009.7019999999999</v>
      </c>
      <c r="E62" s="111">
        <f t="shared" si="36"/>
        <v>1066.78</v>
      </c>
      <c r="F62" s="89">
        <f t="shared" si="36"/>
        <v>1007.745</v>
      </c>
      <c r="G62" s="89">
        <f t="shared" si="36"/>
        <v>1018.1</v>
      </c>
      <c r="H62" s="89">
        <f t="shared" si="36"/>
        <v>945.28899999999999</v>
      </c>
      <c r="I62" s="89">
        <f t="shared" si="36"/>
        <v>986.83100000000002</v>
      </c>
      <c r="J62" s="396">
        <f t="shared" si="36"/>
        <v>1003.5449999999998</v>
      </c>
      <c r="K62" s="88">
        <f t="shared" si="36"/>
        <v>3990.3999999999992</v>
      </c>
      <c r="L62" s="88">
        <f t="shared" si="36"/>
        <v>4126.7</v>
      </c>
      <c r="M62" s="111">
        <f t="shared" ref="M62:T62" si="37">SUM(M53:M61)-M58</f>
        <v>4167.2289934271712</v>
      </c>
      <c r="N62" s="89">
        <f t="shared" si="37"/>
        <v>4149.8</v>
      </c>
      <c r="O62" s="89">
        <f t="shared" si="37"/>
        <v>4244.8</v>
      </c>
      <c r="P62" s="89">
        <f t="shared" si="37"/>
        <v>7899.8</v>
      </c>
      <c r="Q62" s="283">
        <f t="shared" si="37"/>
        <v>8466.5000000000018</v>
      </c>
      <c r="R62" s="372">
        <f t="shared" si="37"/>
        <v>4162.5999999999995</v>
      </c>
      <c r="S62" s="372">
        <f t="shared" si="37"/>
        <v>3503.3999999999996</v>
      </c>
      <c r="T62" s="372">
        <f t="shared" si="37"/>
        <v>3454.8111532557077</v>
      </c>
      <c r="U62" s="283">
        <f t="shared" ref="U62" si="38">SUM(U53:U61)-U58</f>
        <v>3681.2000000000003</v>
      </c>
      <c r="V62" s="372">
        <f t="shared" ref="V62" si="39">SUM(V53:V61)-V58</f>
        <v>4366</v>
      </c>
      <c r="W62" s="372"/>
      <c r="X62" s="372"/>
      <c r="Y62" s="283"/>
    </row>
    <row r="63" spans="1:25" s="15" customFormat="1" ht="24.95" customHeight="1" thickBot="1">
      <c r="A63" s="13" t="s">
        <v>27</v>
      </c>
      <c r="B63" s="89">
        <f>B52+B62</f>
        <v>3411.9869999999996</v>
      </c>
      <c r="C63" s="89">
        <f>C52+C62</f>
        <v>3405.5320000000002</v>
      </c>
      <c r="D63" s="89">
        <f>D52+D62</f>
        <v>3159.9589999999994</v>
      </c>
      <c r="E63" s="111">
        <f t="shared" ref="E63:T63" si="40">E62+E52</f>
        <v>3092.942</v>
      </c>
      <c r="F63" s="89">
        <f t="shared" si="40"/>
        <v>3067.306</v>
      </c>
      <c r="G63" s="89">
        <f t="shared" si="40"/>
        <v>2945.4119999999998</v>
      </c>
      <c r="H63" s="89">
        <f t="shared" si="40"/>
        <v>2772.4030000000002</v>
      </c>
      <c r="I63" s="89">
        <f t="shared" si="40"/>
        <v>2687.0169999999998</v>
      </c>
      <c r="J63" s="396">
        <f t="shared" si="40"/>
        <v>2742.8450000000003</v>
      </c>
      <c r="K63" s="88">
        <f t="shared" si="40"/>
        <v>18735.399999999998</v>
      </c>
      <c r="L63" s="88">
        <f t="shared" si="40"/>
        <v>18350.5</v>
      </c>
      <c r="M63" s="111">
        <f t="shared" si="40"/>
        <v>18260.528993427175</v>
      </c>
      <c r="N63" s="89">
        <f t="shared" si="40"/>
        <v>17777</v>
      </c>
      <c r="O63" s="89">
        <f t="shared" si="40"/>
        <v>17584</v>
      </c>
      <c r="P63" s="89">
        <f t="shared" si="40"/>
        <v>16083.5</v>
      </c>
      <c r="Q63" s="283">
        <f t="shared" si="40"/>
        <v>16240.000000000002</v>
      </c>
      <c r="R63" s="372">
        <f t="shared" si="40"/>
        <v>17950.3</v>
      </c>
      <c r="S63" s="372">
        <f t="shared" si="40"/>
        <v>16819.5</v>
      </c>
      <c r="T63" s="372">
        <f t="shared" si="40"/>
        <v>16459.611153255708</v>
      </c>
      <c r="U63" s="283">
        <f t="shared" ref="U63:V63" si="41">U62+U52</f>
        <v>16351.700000000003</v>
      </c>
      <c r="V63" s="372">
        <f t="shared" si="41"/>
        <v>15904.9</v>
      </c>
      <c r="W63" s="372"/>
      <c r="X63" s="372"/>
      <c r="Y63" s="283"/>
    </row>
    <row r="64" spans="1:25" s="15" customFormat="1" ht="24.95" customHeight="1" thickBot="1">
      <c r="A64" s="92" t="s">
        <v>28</v>
      </c>
      <c r="B64" s="93">
        <f t="shared" ref="B64:T64" si="42">B63+B43</f>
        <v>5502.753999999999</v>
      </c>
      <c r="C64" s="93">
        <f t="shared" si="42"/>
        <v>5597.8010000000004</v>
      </c>
      <c r="D64" s="93">
        <f t="shared" si="42"/>
        <v>5514.8739999999998</v>
      </c>
      <c r="E64" s="124">
        <f t="shared" si="42"/>
        <v>5561.3450000000003</v>
      </c>
      <c r="F64" s="93">
        <f t="shared" si="42"/>
        <v>5629.4740000000002</v>
      </c>
      <c r="G64" s="93">
        <f t="shared" si="42"/>
        <v>5592.7070000000003</v>
      </c>
      <c r="H64" s="93">
        <f t="shared" si="42"/>
        <v>5597.9809999999998</v>
      </c>
      <c r="I64" s="397">
        <f t="shared" si="42"/>
        <v>5688.23</v>
      </c>
      <c r="J64" s="398">
        <f t="shared" si="42"/>
        <v>5851.1939999999995</v>
      </c>
      <c r="K64" s="93">
        <f t="shared" si="42"/>
        <v>27827.1</v>
      </c>
      <c r="L64" s="93">
        <f t="shared" si="42"/>
        <v>27481.200000000001</v>
      </c>
      <c r="M64" s="124">
        <f t="shared" si="42"/>
        <v>27338.728993427176</v>
      </c>
      <c r="N64" s="93">
        <f t="shared" si="42"/>
        <v>27088.9</v>
      </c>
      <c r="O64" s="93">
        <f t="shared" si="42"/>
        <v>27141.800000000003</v>
      </c>
      <c r="P64" s="93">
        <f t="shared" si="42"/>
        <v>26143.5</v>
      </c>
      <c r="Q64" s="286">
        <f t="shared" si="42"/>
        <v>26490.100000000002</v>
      </c>
      <c r="R64" s="374">
        <f t="shared" si="42"/>
        <v>28355.5</v>
      </c>
      <c r="S64" s="374">
        <f t="shared" si="42"/>
        <v>27581.1</v>
      </c>
      <c r="T64" s="374">
        <f t="shared" si="42"/>
        <v>27493.111153255708</v>
      </c>
      <c r="U64" s="286">
        <f t="shared" ref="U64:V64" si="43">U63+U43</f>
        <v>27729.300000000003</v>
      </c>
      <c r="V64" s="374">
        <f t="shared" si="43"/>
        <v>27553.199999999997</v>
      </c>
      <c r="W64" s="374"/>
      <c r="X64" s="374"/>
      <c r="Y64" s="286"/>
    </row>
    <row r="65" spans="1:17" s="12" customFormat="1">
      <c r="A65" s="87"/>
      <c r="K65" s="14"/>
      <c r="L65" s="14"/>
      <c r="P65" s="14"/>
    </row>
    <row r="66" spans="1:17" s="12" customFormat="1">
      <c r="A66" s="87"/>
      <c r="K66" s="14"/>
      <c r="L66" s="14"/>
      <c r="P66" s="14"/>
    </row>
    <row r="67" spans="1:17" s="12" customFormat="1" ht="20.100000000000001" customHeight="1">
      <c r="A67" s="540" t="s">
        <v>210</v>
      </c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</row>
    <row r="68" spans="1:17" s="12" customFormat="1" ht="20.100000000000001" customHeight="1">
      <c r="A68" s="540" t="s">
        <v>203</v>
      </c>
      <c r="B68" s="540"/>
      <c r="C68" s="540"/>
      <c r="D68" s="540"/>
      <c r="E68" s="540"/>
      <c r="F68" s="540"/>
      <c r="G68" s="540"/>
      <c r="H68" s="540"/>
      <c r="I68" s="540"/>
      <c r="J68" s="540"/>
      <c r="K68" s="540"/>
      <c r="L68" s="540"/>
      <c r="M68" s="540"/>
      <c r="N68" s="540"/>
      <c r="O68" s="540"/>
      <c r="P68" s="540"/>
      <c r="Q68" s="540"/>
    </row>
    <row r="69" spans="1:17" s="12" customFormat="1">
      <c r="A69" s="10"/>
      <c r="K69" s="14"/>
      <c r="L69" s="14"/>
      <c r="P69" s="14"/>
    </row>
    <row r="70" spans="1:17" s="12" customFormat="1">
      <c r="A70" s="94"/>
      <c r="K70" s="14"/>
      <c r="L70" s="14"/>
      <c r="P70" s="14"/>
    </row>
    <row r="71" spans="1:17" s="12" customFormat="1">
      <c r="A71" s="10"/>
      <c r="K71" s="14"/>
      <c r="L71" s="14"/>
      <c r="P71" s="14"/>
    </row>
    <row r="72" spans="1:17" s="12" customFormat="1">
      <c r="A72" s="10"/>
      <c r="K72" s="14"/>
      <c r="L72" s="14"/>
      <c r="P72" s="14"/>
    </row>
  </sheetData>
  <mergeCells count="8">
    <mergeCell ref="V2:Y2"/>
    <mergeCell ref="R2:U2"/>
    <mergeCell ref="A67:Q67"/>
    <mergeCell ref="A68:Q68"/>
    <mergeCell ref="B2:E2"/>
    <mergeCell ref="F2:I2"/>
    <mergeCell ref="J2:M2"/>
    <mergeCell ref="N2:Q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4"/>
  <sheetViews>
    <sheetView showGridLines="0" zoomScaleNormal="100" zoomScaleSheetLayoutView="110"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62.2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20" width="13" style="6" bestFit="1" customWidth="1"/>
    <col min="21" max="21" width="13" style="6" customWidth="1"/>
    <col min="22" max="24" width="13" style="6" bestFit="1" customWidth="1"/>
    <col min="25" max="25" width="13" style="6" customWidth="1"/>
    <col min="26" max="61" width="9" style="10"/>
    <col min="62" max="16384" width="9" style="6"/>
  </cols>
  <sheetData>
    <row r="1" spans="1:494" s="24" customFormat="1" ht="50.25" customHeight="1" thickBot="1">
      <c r="A1" s="5" t="s">
        <v>179</v>
      </c>
      <c r="B1" s="5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</row>
    <row r="2" spans="1:494" s="24" customFormat="1" ht="24.95" customHeight="1">
      <c r="A2" s="8" t="s">
        <v>132</v>
      </c>
      <c r="B2" s="538">
        <v>2012</v>
      </c>
      <c r="C2" s="538"/>
      <c r="D2" s="538"/>
      <c r="E2" s="539"/>
      <c r="F2" s="537">
        <v>2013</v>
      </c>
      <c r="G2" s="538"/>
      <c r="H2" s="538"/>
      <c r="I2" s="539"/>
      <c r="J2" s="538">
        <v>2014</v>
      </c>
      <c r="K2" s="538"/>
      <c r="L2" s="538"/>
      <c r="M2" s="538"/>
      <c r="N2" s="543">
        <v>2015</v>
      </c>
      <c r="O2" s="541"/>
      <c r="P2" s="541"/>
      <c r="Q2" s="542"/>
      <c r="R2" s="537">
        <v>2016</v>
      </c>
      <c r="S2" s="538"/>
      <c r="T2" s="538"/>
      <c r="U2" s="539"/>
      <c r="V2" s="537">
        <v>2017</v>
      </c>
      <c r="W2" s="538"/>
      <c r="X2" s="538"/>
      <c r="Y2" s="539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</row>
    <row r="3" spans="1:494" ht="34.5" customHeight="1" thickBot="1">
      <c r="A3" s="9" t="s">
        <v>105</v>
      </c>
      <c r="B3" s="135" t="s">
        <v>127</v>
      </c>
      <c r="C3" s="135" t="s">
        <v>128</v>
      </c>
      <c r="D3" s="135" t="s">
        <v>129</v>
      </c>
      <c r="E3" s="137" t="s">
        <v>130</v>
      </c>
      <c r="F3" s="136" t="s">
        <v>127</v>
      </c>
      <c r="G3" s="135" t="s">
        <v>128</v>
      </c>
      <c r="H3" s="135" t="s">
        <v>129</v>
      </c>
      <c r="I3" s="137" t="s">
        <v>130</v>
      </c>
      <c r="J3" s="135" t="s">
        <v>127</v>
      </c>
      <c r="K3" s="135" t="s">
        <v>128</v>
      </c>
      <c r="L3" s="135" t="s">
        <v>129</v>
      </c>
      <c r="M3" s="138" t="s">
        <v>130</v>
      </c>
      <c r="N3" s="136" t="s">
        <v>127</v>
      </c>
      <c r="O3" s="135" t="s">
        <v>128</v>
      </c>
      <c r="P3" s="135" t="s">
        <v>129</v>
      </c>
      <c r="Q3" s="276" t="s">
        <v>130</v>
      </c>
      <c r="R3" s="136" t="s">
        <v>127</v>
      </c>
      <c r="S3" s="135" t="s">
        <v>128</v>
      </c>
      <c r="T3" s="135" t="s">
        <v>129</v>
      </c>
      <c r="U3" s="276" t="s">
        <v>130</v>
      </c>
      <c r="V3" s="136" t="s">
        <v>127</v>
      </c>
      <c r="W3" s="135" t="s">
        <v>128</v>
      </c>
      <c r="X3" s="135" t="s">
        <v>129</v>
      </c>
      <c r="Y3" s="276" t="s">
        <v>130</v>
      </c>
    </row>
    <row r="4" spans="1:494" s="10" customFormat="1" ht="20.100000000000001" customHeight="1" thickBot="1">
      <c r="A4" s="269" t="s">
        <v>131</v>
      </c>
      <c r="B4" s="288">
        <v>205.10900000000001</v>
      </c>
      <c r="C4" s="288">
        <v>304.61200000000002</v>
      </c>
      <c r="D4" s="288">
        <v>476.67400000000004</v>
      </c>
      <c r="E4" s="413">
        <v>598.298</v>
      </c>
      <c r="F4" s="287">
        <v>95.105000000000004</v>
      </c>
      <c r="G4" s="288">
        <v>175.85</v>
      </c>
      <c r="H4" s="288">
        <v>352.30099999999999</v>
      </c>
      <c r="I4" s="413">
        <v>525.44500000000005</v>
      </c>
      <c r="J4" s="288">
        <v>98.171999999999997</v>
      </c>
      <c r="K4" s="288">
        <f>'Skonsolidowany P&amp;L'!L25+'Skonsolidowany P&amp;L'!M25</f>
        <v>230.29999999999967</v>
      </c>
      <c r="L4" s="288">
        <v>278.5</v>
      </c>
      <c r="M4" s="299">
        <v>292.5</v>
      </c>
      <c r="N4" s="287">
        <v>170.8</v>
      </c>
      <c r="O4" s="288">
        <v>475.29999999999984</v>
      </c>
      <c r="P4" s="288">
        <f>SUM('Skonsolidowany P&amp;L'!Q25:S25)</f>
        <v>977.7999999999995</v>
      </c>
      <c r="Q4" s="289">
        <f>SUM('Skonsolidowany P&amp;L'!U25)</f>
        <v>1163.3999999999994</v>
      </c>
      <c r="R4" s="287">
        <f>'Skonsolidowany P&amp;L'!V25</f>
        <v>178.50000000000006</v>
      </c>
      <c r="S4" s="288">
        <f>'Skonsolidowany P&amp;L'!V25+'Skonsolidowany P&amp;L'!W25</f>
        <v>409.4000000000002</v>
      </c>
      <c r="T4" s="288">
        <f>S4+'Skonsolidowany P&amp;L'!X25</f>
        <v>679.20000000000061</v>
      </c>
      <c r="U4" s="289">
        <f>'Skonsolidowany P&amp;L'!Z25</f>
        <v>1021.0000000000001</v>
      </c>
      <c r="V4" s="287">
        <f>'Skonsolidowany P&amp;L'!AA25</f>
        <v>271.40000000000032</v>
      </c>
      <c r="W4" s="288"/>
      <c r="X4" s="288"/>
      <c r="Y4" s="289"/>
    </row>
    <row r="5" spans="1:494" s="10" customFormat="1" ht="20.100000000000001" customHeight="1" thickBot="1">
      <c r="A5" s="269" t="s">
        <v>29</v>
      </c>
      <c r="B5" s="414">
        <f t="shared" ref="B5:V5" si="0">SUM(B6:B23)</f>
        <v>28.31799999999998</v>
      </c>
      <c r="C5" s="414">
        <f t="shared" si="0"/>
        <v>110.99899999999997</v>
      </c>
      <c r="D5" s="414">
        <f t="shared" si="0"/>
        <v>152.09600000000003</v>
      </c>
      <c r="E5" s="413">
        <f t="shared" si="0"/>
        <v>244.9200000000001</v>
      </c>
      <c r="F5" s="287">
        <f t="shared" si="0"/>
        <v>70.556999999999988</v>
      </c>
      <c r="G5" s="288">
        <f t="shared" si="0"/>
        <v>176.07799999999997</v>
      </c>
      <c r="H5" s="288">
        <f t="shared" si="0"/>
        <v>195.94299999999996</v>
      </c>
      <c r="I5" s="413">
        <f t="shared" si="0"/>
        <v>334.28999999999991</v>
      </c>
      <c r="J5" s="288">
        <f t="shared" si="0"/>
        <v>86.532000000000011</v>
      </c>
      <c r="K5" s="288">
        <f t="shared" si="0"/>
        <v>505.40000000000015</v>
      </c>
      <c r="L5" s="288">
        <f t="shared" si="0"/>
        <v>1145.4000000000003</v>
      </c>
      <c r="M5" s="299">
        <f t="shared" si="0"/>
        <v>1825.2999999999997</v>
      </c>
      <c r="N5" s="287">
        <f t="shared" si="0"/>
        <v>282.2000000000001</v>
      </c>
      <c r="O5" s="288">
        <f t="shared" si="0"/>
        <v>852.69999999999982</v>
      </c>
      <c r="P5" s="288">
        <f t="shared" si="0"/>
        <v>1195.6999999999994</v>
      </c>
      <c r="Q5" s="289">
        <f t="shared" si="0"/>
        <v>1821.6999999999998</v>
      </c>
      <c r="R5" s="287">
        <f t="shared" si="0"/>
        <v>405.9</v>
      </c>
      <c r="S5" s="288">
        <f t="shared" si="0"/>
        <v>1140</v>
      </c>
      <c r="T5" s="288">
        <f t="shared" si="0"/>
        <v>1678.3000000000002</v>
      </c>
      <c r="U5" s="289">
        <f t="shared" si="0"/>
        <v>2130.5</v>
      </c>
      <c r="V5" s="287">
        <f t="shared" si="0"/>
        <v>509.29999999999995</v>
      </c>
      <c r="W5" s="288"/>
      <c r="X5" s="288"/>
      <c r="Y5" s="289"/>
    </row>
    <row r="6" spans="1:494" s="10" customFormat="1" ht="20.100000000000001" customHeight="1">
      <c r="A6" s="270" t="s">
        <v>77</v>
      </c>
      <c r="B6" s="291">
        <v>54.433</v>
      </c>
      <c r="C6" s="291">
        <v>111.117</v>
      </c>
      <c r="D6" s="291">
        <v>171.35499999999999</v>
      </c>
      <c r="E6" s="415">
        <v>243.066</v>
      </c>
      <c r="F6" s="290">
        <v>60.698</v>
      </c>
      <c r="G6" s="291">
        <v>122.961</v>
      </c>
      <c r="H6" s="291">
        <v>187.82599999999999</v>
      </c>
      <c r="I6" s="415">
        <v>256.416</v>
      </c>
      <c r="J6" s="300">
        <v>62.434000000000005</v>
      </c>
      <c r="K6" s="300">
        <v>373.8</v>
      </c>
      <c r="L6" s="300">
        <v>852.1</v>
      </c>
      <c r="M6" s="301">
        <v>1295.9000000000001</v>
      </c>
      <c r="N6" s="290">
        <v>467.9</v>
      </c>
      <c r="O6" s="291">
        <v>861.4</v>
      </c>
      <c r="P6" s="291">
        <v>1262.5999999999999</v>
      </c>
      <c r="Q6" s="292">
        <v>1699.3</v>
      </c>
      <c r="R6" s="290">
        <v>423.7</v>
      </c>
      <c r="S6" s="291">
        <v>951.2</v>
      </c>
      <c r="T6" s="291">
        <v>1459.1</v>
      </c>
      <c r="U6" s="292">
        <v>1971.5</v>
      </c>
      <c r="V6" s="290">
        <v>472.3</v>
      </c>
      <c r="W6" s="291"/>
      <c r="X6" s="291"/>
      <c r="Y6" s="292"/>
    </row>
    <row r="7" spans="1:494" s="10" customFormat="1" ht="20.100000000000001" customHeight="1">
      <c r="A7" s="270" t="s">
        <v>51</v>
      </c>
      <c r="B7" s="291">
        <v>-29.711000000000002</v>
      </c>
      <c r="C7" s="291">
        <v>-88.683000000000007</v>
      </c>
      <c r="D7" s="291">
        <v>-140.589</v>
      </c>
      <c r="E7" s="415">
        <v>-177.86799999999999</v>
      </c>
      <c r="F7" s="290">
        <v>-44.32</v>
      </c>
      <c r="G7" s="291">
        <v>-122.45100000000001</v>
      </c>
      <c r="H7" s="291">
        <v>-189.477</v>
      </c>
      <c r="I7" s="415">
        <v>-222.45600000000002</v>
      </c>
      <c r="J7" s="300">
        <v>-109.42100000000001</v>
      </c>
      <c r="K7" s="300">
        <v>-148.9</v>
      </c>
      <c r="L7" s="300">
        <v>-224.7</v>
      </c>
      <c r="M7" s="301">
        <v>-306.8</v>
      </c>
      <c r="N7" s="290">
        <v>-41.5</v>
      </c>
      <c r="O7" s="291">
        <v>-115.2</v>
      </c>
      <c r="P7" s="291">
        <v>-195.4</v>
      </c>
      <c r="Q7" s="292">
        <v>-238.1</v>
      </c>
      <c r="R7" s="290">
        <v>-58.1</v>
      </c>
      <c r="S7" s="291">
        <v>-119</v>
      </c>
      <c r="T7" s="291">
        <v>-189.6</v>
      </c>
      <c r="U7" s="292">
        <v>-246.5</v>
      </c>
      <c r="V7" s="290">
        <v>-33.299999999999997</v>
      </c>
      <c r="W7" s="291"/>
      <c r="X7" s="291"/>
      <c r="Y7" s="292"/>
    </row>
    <row r="8" spans="1:494" s="10" customFormat="1" ht="20.100000000000001" customHeight="1">
      <c r="A8" s="270" t="s">
        <v>52</v>
      </c>
      <c r="B8" s="291">
        <v>46.908999999999999</v>
      </c>
      <c r="C8" s="291">
        <v>99.832000000000008</v>
      </c>
      <c r="D8" s="291">
        <v>145.40600000000001</v>
      </c>
      <c r="E8" s="415">
        <v>194.52100000000002</v>
      </c>
      <c r="F8" s="290">
        <v>46.048999999999999</v>
      </c>
      <c r="G8" s="291">
        <v>102.423</v>
      </c>
      <c r="H8" s="291">
        <v>162.63200000000001</v>
      </c>
      <c r="I8" s="415">
        <v>220.37100000000001</v>
      </c>
      <c r="J8" s="300">
        <v>40.084000000000003</v>
      </c>
      <c r="K8" s="300">
        <v>85.1</v>
      </c>
      <c r="L8" s="300">
        <v>162.19999999999999</v>
      </c>
      <c r="M8" s="301">
        <v>224.4</v>
      </c>
      <c r="N8" s="290">
        <v>43.7</v>
      </c>
      <c r="O8" s="291">
        <v>90.5</v>
      </c>
      <c r="P8" s="291">
        <v>149.9</v>
      </c>
      <c r="Q8" s="292">
        <v>212.6</v>
      </c>
      <c r="R8" s="290">
        <v>49.1</v>
      </c>
      <c r="S8" s="291">
        <v>125.3</v>
      </c>
      <c r="T8" s="291">
        <v>173.5</v>
      </c>
      <c r="U8" s="292">
        <v>230.7</v>
      </c>
      <c r="V8" s="290">
        <v>48.5</v>
      </c>
      <c r="W8" s="291"/>
      <c r="X8" s="291"/>
      <c r="Y8" s="292"/>
    </row>
    <row r="9" spans="1:494" s="10" customFormat="1" ht="20.100000000000001" customHeight="1">
      <c r="A9" s="270" t="s">
        <v>92</v>
      </c>
      <c r="B9" s="291">
        <v>-1.0999999999999999E-2</v>
      </c>
      <c r="C9" s="291">
        <v>-0.25700000000000001</v>
      </c>
      <c r="D9" s="291">
        <v>-0.48299999999999998</v>
      </c>
      <c r="E9" s="415">
        <v>-0.111</v>
      </c>
      <c r="F9" s="290">
        <v>5.8000000000000003E-2</v>
      </c>
      <c r="G9" s="291">
        <v>7.2999999999999995E-2</v>
      </c>
      <c r="H9" s="291">
        <v>-38.896000000000001</v>
      </c>
      <c r="I9" s="415">
        <v>-35.765000000000001</v>
      </c>
      <c r="J9" s="300">
        <v>-5.2999999999999999E-2</v>
      </c>
      <c r="K9" s="300">
        <v>-0.7</v>
      </c>
      <c r="L9" s="300">
        <v>-2.4</v>
      </c>
      <c r="M9" s="301">
        <v>-2.9</v>
      </c>
      <c r="N9" s="290">
        <v>-0.4</v>
      </c>
      <c r="O9" s="291">
        <v>-4.8</v>
      </c>
      <c r="P9" s="291">
        <v>-5.7</v>
      </c>
      <c r="Q9" s="292">
        <v>-6.9</v>
      </c>
      <c r="R9" s="424" t="s">
        <v>64</v>
      </c>
      <c r="S9" s="425" t="s">
        <v>64</v>
      </c>
      <c r="T9" s="425" t="s">
        <v>64</v>
      </c>
      <c r="U9" s="504" t="s">
        <v>64</v>
      </c>
      <c r="V9" s="424" t="s">
        <v>64</v>
      </c>
      <c r="W9" s="425"/>
      <c r="X9" s="425"/>
      <c r="Y9" s="504"/>
    </row>
    <row r="10" spans="1:494" s="10" customFormat="1" ht="20.100000000000001" customHeight="1">
      <c r="A10" s="270" t="s">
        <v>53</v>
      </c>
      <c r="B10" s="291">
        <v>2.3109999999999999</v>
      </c>
      <c r="C10" s="291">
        <v>4.6020000000000003</v>
      </c>
      <c r="D10" s="291">
        <v>6.1379999999999999</v>
      </c>
      <c r="E10" s="415">
        <v>9.2439999999999998</v>
      </c>
      <c r="F10" s="290">
        <v>3.504</v>
      </c>
      <c r="G10" s="291">
        <v>5.843</v>
      </c>
      <c r="H10" s="291">
        <v>6.3049999999999997</v>
      </c>
      <c r="I10" s="415">
        <v>6.407</v>
      </c>
      <c r="J10" s="300">
        <v>4.1000000000000002E-2</v>
      </c>
      <c r="K10" s="300">
        <v>0.1</v>
      </c>
      <c r="L10" s="300">
        <v>30.4</v>
      </c>
      <c r="M10" s="301">
        <v>30.5</v>
      </c>
      <c r="N10" s="290">
        <v>0.1</v>
      </c>
      <c r="O10" s="291">
        <v>0.5</v>
      </c>
      <c r="P10" s="291">
        <v>0.5</v>
      </c>
      <c r="Q10" s="292">
        <v>1.4</v>
      </c>
      <c r="R10" s="424" t="s">
        <v>64</v>
      </c>
      <c r="S10" s="425" t="s">
        <v>64</v>
      </c>
      <c r="T10" s="425" t="s">
        <v>64</v>
      </c>
      <c r="U10" s="504" t="s">
        <v>64</v>
      </c>
      <c r="V10" s="424" t="s">
        <v>64</v>
      </c>
      <c r="W10" s="425"/>
      <c r="X10" s="425"/>
      <c r="Y10" s="504"/>
    </row>
    <row r="11" spans="1:494" s="10" customFormat="1" ht="20.100000000000001" customHeight="1">
      <c r="A11" s="270" t="s">
        <v>30</v>
      </c>
      <c r="B11" s="291">
        <v>52.017000000000003</v>
      </c>
      <c r="C11" s="291">
        <v>105.822</v>
      </c>
      <c r="D11" s="291">
        <v>156.893</v>
      </c>
      <c r="E11" s="415">
        <v>205.185</v>
      </c>
      <c r="F11" s="290">
        <v>46.368000000000002</v>
      </c>
      <c r="G11" s="291">
        <v>93.388999999999996</v>
      </c>
      <c r="H11" s="291">
        <v>140.42699999999999</v>
      </c>
      <c r="I11" s="415">
        <v>183.81100000000001</v>
      </c>
      <c r="J11" s="300">
        <v>90.381</v>
      </c>
      <c r="K11" s="300">
        <v>248.5</v>
      </c>
      <c r="L11" s="300">
        <v>421.4</v>
      </c>
      <c r="M11" s="301">
        <v>603.70000000000005</v>
      </c>
      <c r="N11" s="290">
        <v>177.4</v>
      </c>
      <c r="O11" s="291">
        <v>348.5</v>
      </c>
      <c r="P11" s="291">
        <v>581.29999999999995</v>
      </c>
      <c r="Q11" s="292">
        <v>763.6</v>
      </c>
      <c r="R11" s="290">
        <v>144.69999999999999</v>
      </c>
      <c r="S11" s="291">
        <v>285.89999999999998</v>
      </c>
      <c r="T11" s="291">
        <v>417.4</v>
      </c>
      <c r="U11" s="292">
        <v>541.9</v>
      </c>
      <c r="V11" s="290">
        <v>114.5</v>
      </c>
      <c r="W11" s="291"/>
      <c r="X11" s="291"/>
      <c r="Y11" s="292"/>
    </row>
    <row r="12" spans="1:494" s="10" customFormat="1" ht="20.100000000000001" customHeight="1">
      <c r="A12" s="270" t="s">
        <v>31</v>
      </c>
      <c r="B12" s="291">
        <v>-7.2490000000000006</v>
      </c>
      <c r="C12" s="291">
        <v>-7.3810000000000002</v>
      </c>
      <c r="D12" s="291">
        <v>1.093</v>
      </c>
      <c r="E12" s="415">
        <v>16.173000000000002</v>
      </c>
      <c r="F12" s="290">
        <v>11.273</v>
      </c>
      <c r="G12" s="291">
        <v>4.4740000000000002</v>
      </c>
      <c r="H12" s="291">
        <v>5.9119999999999999</v>
      </c>
      <c r="I12" s="415">
        <v>14.839</v>
      </c>
      <c r="J12" s="300">
        <v>-16.302</v>
      </c>
      <c r="K12" s="300">
        <v>-41.8</v>
      </c>
      <c r="L12" s="300">
        <v>-14.7</v>
      </c>
      <c r="M12" s="301">
        <v>0.5</v>
      </c>
      <c r="N12" s="290">
        <v>48.6</v>
      </c>
      <c r="O12" s="291">
        <v>45.6</v>
      </c>
      <c r="P12" s="291">
        <v>43.3</v>
      </c>
      <c r="Q12" s="292">
        <v>26.4</v>
      </c>
      <c r="R12" s="290">
        <v>21.5</v>
      </c>
      <c r="S12" s="291">
        <v>11.7</v>
      </c>
      <c r="T12" s="291">
        <v>0.7</v>
      </c>
      <c r="U12" s="292">
        <v>3</v>
      </c>
      <c r="V12" s="290">
        <v>41.5</v>
      </c>
      <c r="W12" s="291"/>
      <c r="X12" s="291"/>
      <c r="Y12" s="292"/>
    </row>
    <row r="13" spans="1:494" s="10" customFormat="1" ht="20.100000000000001" customHeight="1">
      <c r="A13" s="270" t="s">
        <v>32</v>
      </c>
      <c r="B13" s="291">
        <v>-48.496000000000002</v>
      </c>
      <c r="C13" s="291">
        <v>-85.073000000000008</v>
      </c>
      <c r="D13" s="291">
        <v>-90.59</v>
      </c>
      <c r="E13" s="415">
        <v>-106.816</v>
      </c>
      <c r="F13" s="290">
        <v>-18.654</v>
      </c>
      <c r="G13" s="291">
        <v>-16.358000000000001</v>
      </c>
      <c r="H13" s="291">
        <v>16.681000000000001</v>
      </c>
      <c r="I13" s="415">
        <v>60.908000000000001</v>
      </c>
      <c r="J13" s="300">
        <v>-5.1610000000000005</v>
      </c>
      <c r="K13" s="300">
        <v>-29.2</v>
      </c>
      <c r="L13" s="300">
        <v>-87.6</v>
      </c>
      <c r="M13" s="301">
        <v>-191.9</v>
      </c>
      <c r="N13" s="290">
        <v>-211.8</v>
      </c>
      <c r="O13" s="291">
        <v>-581.20000000000005</v>
      </c>
      <c r="P13" s="291">
        <v>-349.3</v>
      </c>
      <c r="Q13" s="292">
        <v>-478.2</v>
      </c>
      <c r="R13" s="290">
        <v>-33.9</v>
      </c>
      <c r="S13" s="291">
        <v>-105.3</v>
      </c>
      <c r="T13" s="291">
        <v>-164.6</v>
      </c>
      <c r="U13" s="292">
        <v>-329.9</v>
      </c>
      <c r="V13" s="290">
        <v>21.5</v>
      </c>
      <c r="W13" s="291"/>
      <c r="X13" s="291"/>
      <c r="Y13" s="292"/>
    </row>
    <row r="14" spans="1:494" s="10" customFormat="1" ht="20.100000000000001" customHeight="1">
      <c r="A14" s="270" t="s">
        <v>65</v>
      </c>
      <c r="B14" s="291">
        <v>53.564</v>
      </c>
      <c r="C14" s="291">
        <v>51.881</v>
      </c>
      <c r="D14" s="291">
        <v>66.406999999999996</v>
      </c>
      <c r="E14" s="415">
        <v>67.872</v>
      </c>
      <c r="F14" s="290">
        <v>-36.840000000000003</v>
      </c>
      <c r="G14" s="291">
        <v>-56.231999999999999</v>
      </c>
      <c r="H14" s="291">
        <v>-85.896000000000001</v>
      </c>
      <c r="I14" s="415">
        <v>-104.93900000000001</v>
      </c>
      <c r="J14" s="300">
        <v>31.469000000000001</v>
      </c>
      <c r="K14" s="300">
        <v>-73.8</v>
      </c>
      <c r="L14" s="300">
        <v>-175.9</v>
      </c>
      <c r="M14" s="301">
        <v>-277.7</v>
      </c>
      <c r="N14" s="290">
        <v>-216.1</v>
      </c>
      <c r="O14" s="291">
        <v>69.3</v>
      </c>
      <c r="P14" s="291">
        <v>-184.3</v>
      </c>
      <c r="Q14" s="292">
        <v>-118</v>
      </c>
      <c r="R14" s="290">
        <v>-205.9</v>
      </c>
      <c r="S14" s="291">
        <v>-106.7</v>
      </c>
      <c r="T14" s="291">
        <v>-141.30000000000001</v>
      </c>
      <c r="U14" s="292">
        <v>-33.299999999999997</v>
      </c>
      <c r="V14" s="290">
        <v>-181.5</v>
      </c>
      <c r="W14" s="291"/>
      <c r="X14" s="291"/>
      <c r="Y14" s="292"/>
    </row>
    <row r="15" spans="1:494" s="10" customFormat="1" ht="20.100000000000001" customHeight="1">
      <c r="A15" s="270" t="s">
        <v>54</v>
      </c>
      <c r="B15" s="291">
        <v>-0.186</v>
      </c>
      <c r="C15" s="291">
        <v>4.0730000000000004</v>
      </c>
      <c r="D15" s="291">
        <v>0.502</v>
      </c>
      <c r="E15" s="415">
        <v>2.093</v>
      </c>
      <c r="F15" s="290">
        <v>-1.048</v>
      </c>
      <c r="G15" s="291">
        <v>2.4170000000000003</v>
      </c>
      <c r="H15" s="291">
        <v>-3.5390000000000001</v>
      </c>
      <c r="I15" s="415">
        <v>6.4770000000000003</v>
      </c>
      <c r="J15" s="300">
        <v>-13.309000000000001</v>
      </c>
      <c r="K15" s="300">
        <v>-1.5</v>
      </c>
      <c r="L15" s="300">
        <v>-17.399999999999999</v>
      </c>
      <c r="M15" s="301">
        <v>-4.9000000000000004</v>
      </c>
      <c r="N15" s="290">
        <v>-11.7</v>
      </c>
      <c r="O15" s="291">
        <v>-7.6</v>
      </c>
      <c r="P15" s="291">
        <v>-17.7</v>
      </c>
      <c r="Q15" s="292">
        <v>-3.9</v>
      </c>
      <c r="R15" s="290">
        <v>-11.1</v>
      </c>
      <c r="S15" s="291">
        <v>1</v>
      </c>
      <c r="T15" s="291">
        <v>-5.6</v>
      </c>
      <c r="U15" s="292">
        <v>-6.1</v>
      </c>
      <c r="V15" s="424" t="s">
        <v>64</v>
      </c>
      <c r="W15" s="291"/>
      <c r="X15" s="291"/>
      <c r="Y15" s="292"/>
    </row>
    <row r="16" spans="1:494" s="10" customFormat="1" ht="20.100000000000001" customHeight="1">
      <c r="A16" s="270" t="s">
        <v>55</v>
      </c>
      <c r="B16" s="291">
        <v>-9.7880000000000003</v>
      </c>
      <c r="C16" s="291">
        <v>-10.354000000000001</v>
      </c>
      <c r="D16" s="291">
        <v>-21.978000000000002</v>
      </c>
      <c r="E16" s="415">
        <v>-31.345000000000002</v>
      </c>
      <c r="F16" s="290">
        <v>3.66</v>
      </c>
      <c r="G16" s="291">
        <v>9.0690000000000008</v>
      </c>
      <c r="H16" s="291">
        <v>11.329000000000001</v>
      </c>
      <c r="I16" s="415">
        <v>14.404</v>
      </c>
      <c r="J16" s="300">
        <v>11.066000000000001</v>
      </c>
      <c r="K16" s="300">
        <v>11.1</v>
      </c>
      <c r="L16" s="300">
        <v>-0.2</v>
      </c>
      <c r="M16" s="301">
        <v>-3.9</v>
      </c>
      <c r="N16" s="290">
        <v>-0.6</v>
      </c>
      <c r="O16" s="291">
        <v>5.3</v>
      </c>
      <c r="P16" s="291">
        <v>4.8</v>
      </c>
      <c r="Q16" s="292">
        <v>6.6</v>
      </c>
      <c r="R16" s="290">
        <v>2.5</v>
      </c>
      <c r="S16" s="291">
        <v>4.7</v>
      </c>
      <c r="T16" s="291">
        <v>7.3</v>
      </c>
      <c r="U16" s="292">
        <v>9.8000000000000007</v>
      </c>
      <c r="V16" s="424" t="s">
        <v>64</v>
      </c>
      <c r="W16" s="291"/>
      <c r="X16" s="291"/>
      <c r="Y16" s="292"/>
    </row>
    <row r="17" spans="1:25" s="10" customFormat="1" ht="20.100000000000001" customHeight="1">
      <c r="A17" s="270" t="s">
        <v>98</v>
      </c>
      <c r="B17" s="291">
        <v>-0.73</v>
      </c>
      <c r="C17" s="291">
        <v>-1.5010000000000001</v>
      </c>
      <c r="D17" s="291">
        <v>-2.044</v>
      </c>
      <c r="E17" s="415">
        <v>-2.8970000000000002</v>
      </c>
      <c r="F17" s="290">
        <v>-0.76200000000000001</v>
      </c>
      <c r="G17" s="291">
        <v>-1.58</v>
      </c>
      <c r="H17" s="291">
        <v>-2.3290000000000002</v>
      </c>
      <c r="I17" s="415">
        <v>-2.9239999999999999</v>
      </c>
      <c r="J17" s="300">
        <v>-0.63300000000000001</v>
      </c>
      <c r="K17" s="300">
        <v>-1.3</v>
      </c>
      <c r="L17" s="300">
        <v>-2</v>
      </c>
      <c r="M17" s="301">
        <v>-2.6</v>
      </c>
      <c r="N17" s="290">
        <v>-0.5</v>
      </c>
      <c r="O17" s="291">
        <v>-1.4</v>
      </c>
      <c r="P17" s="291">
        <v>-1.9</v>
      </c>
      <c r="Q17" s="292">
        <v>-2.6</v>
      </c>
      <c r="R17" s="290">
        <v>-0.8</v>
      </c>
      <c r="S17" s="291">
        <v>0</v>
      </c>
      <c r="T17" s="291">
        <v>0</v>
      </c>
      <c r="U17" s="292">
        <v>0</v>
      </c>
      <c r="V17" s="424" t="s">
        <v>64</v>
      </c>
      <c r="W17" s="291"/>
      <c r="X17" s="291"/>
      <c r="Y17" s="292"/>
    </row>
    <row r="18" spans="1:25" s="10" customFormat="1" ht="20.100000000000001" customHeight="1">
      <c r="A18" s="270" t="s">
        <v>62</v>
      </c>
      <c r="B18" s="291">
        <v>-87.786000000000001</v>
      </c>
      <c r="C18" s="291">
        <v>-51.798000000000002</v>
      </c>
      <c r="D18" s="291">
        <v>-102.06700000000001</v>
      </c>
      <c r="E18" s="415">
        <v>-111.07600000000001</v>
      </c>
      <c r="F18" s="290">
        <v>25.975999999999999</v>
      </c>
      <c r="G18" s="291">
        <v>77.412999999999997</v>
      </c>
      <c r="H18" s="291">
        <v>39.252000000000002</v>
      </c>
      <c r="I18" s="415">
        <v>16.294</v>
      </c>
      <c r="J18" s="300">
        <v>10.337</v>
      </c>
      <c r="K18" s="300">
        <v>8.8000000000000007</v>
      </c>
      <c r="L18" s="300">
        <v>164.9</v>
      </c>
      <c r="M18" s="301">
        <v>369.9</v>
      </c>
      <c r="N18" s="290">
        <v>37.1</v>
      </c>
      <c r="O18" s="291">
        <v>99.2</v>
      </c>
      <c r="P18" s="291">
        <v>135.80000000000001</v>
      </c>
      <c r="Q18" s="292">
        <v>222</v>
      </c>
      <c r="R18" s="290">
        <v>250.2</v>
      </c>
      <c r="S18" s="291">
        <v>276.10000000000002</v>
      </c>
      <c r="T18" s="291">
        <v>258.3</v>
      </c>
      <c r="U18" s="292">
        <v>270.89999999999998</v>
      </c>
      <c r="V18" s="290">
        <v>-28.4</v>
      </c>
      <c r="W18" s="291"/>
      <c r="X18" s="291"/>
      <c r="Y18" s="292"/>
    </row>
    <row r="19" spans="1:25" s="10" customFormat="1" ht="20.100000000000001" customHeight="1">
      <c r="A19" s="270" t="s">
        <v>33</v>
      </c>
      <c r="B19" s="291">
        <v>41.158999999999999</v>
      </c>
      <c r="C19" s="291">
        <v>54.56</v>
      </c>
      <c r="D19" s="291">
        <v>80.768000000000001</v>
      </c>
      <c r="E19" s="415">
        <v>97.349000000000004</v>
      </c>
      <c r="F19" s="290">
        <v>14.031000000000001</v>
      </c>
      <c r="G19" s="291">
        <v>27.457000000000001</v>
      </c>
      <c r="H19" s="291">
        <v>51.835000000000001</v>
      </c>
      <c r="I19" s="415">
        <v>67.376000000000005</v>
      </c>
      <c r="J19" s="300">
        <v>14.384</v>
      </c>
      <c r="K19" s="300">
        <v>31.1</v>
      </c>
      <c r="L19" s="300">
        <v>32.200000000000003</v>
      </c>
      <c r="M19" s="301">
        <v>21.7</v>
      </c>
      <c r="N19" s="290">
        <v>26</v>
      </c>
      <c r="O19" s="291">
        <v>71.900000000000006</v>
      </c>
      <c r="P19" s="291">
        <v>182.7</v>
      </c>
      <c r="Q19" s="292">
        <v>169</v>
      </c>
      <c r="R19" s="290">
        <v>27.2</v>
      </c>
      <c r="S19" s="291">
        <v>48.4</v>
      </c>
      <c r="T19" s="291">
        <v>113.5</v>
      </c>
      <c r="U19" s="292">
        <v>12.4</v>
      </c>
      <c r="V19" s="290">
        <v>30.8</v>
      </c>
      <c r="W19" s="291"/>
      <c r="X19" s="291"/>
      <c r="Y19" s="292"/>
    </row>
    <row r="20" spans="1:25" s="10" customFormat="1" ht="20.100000000000001" customHeight="1">
      <c r="A20" s="270" t="s">
        <v>66</v>
      </c>
      <c r="B20" s="291">
        <v>-38.363</v>
      </c>
      <c r="C20" s="291">
        <v>-76.626000000000005</v>
      </c>
      <c r="D20" s="291">
        <v>-120.02500000000001</v>
      </c>
      <c r="E20" s="415">
        <v>-164.00800000000001</v>
      </c>
      <c r="F20" s="290">
        <v>-40.92</v>
      </c>
      <c r="G20" s="291">
        <v>-81.858999999999995</v>
      </c>
      <c r="H20" s="291">
        <v>-116.813</v>
      </c>
      <c r="I20" s="415">
        <v>-158.85900000000001</v>
      </c>
      <c r="J20" s="300">
        <v>-30.564</v>
      </c>
      <c r="K20" s="300">
        <v>-65.3</v>
      </c>
      <c r="L20" s="300">
        <v>-142.1</v>
      </c>
      <c r="M20" s="301">
        <v>-193.1</v>
      </c>
      <c r="N20" s="290">
        <v>-43.6</v>
      </c>
      <c r="O20" s="291">
        <v>-72.2</v>
      </c>
      <c r="P20" s="291">
        <v>-96.7</v>
      </c>
      <c r="Q20" s="292">
        <v>-134.69999999999999</v>
      </c>
      <c r="R20" s="290">
        <v>-31.1</v>
      </c>
      <c r="S20" s="291">
        <v>-71.2</v>
      </c>
      <c r="T20" s="291">
        <v>-111</v>
      </c>
      <c r="U20" s="292">
        <v>-153</v>
      </c>
      <c r="V20" s="290">
        <v>-33.1</v>
      </c>
      <c r="W20" s="291"/>
      <c r="X20" s="291"/>
      <c r="Y20" s="292"/>
    </row>
    <row r="21" spans="1:25" s="10" customFormat="1" ht="25.5">
      <c r="A21" s="511" t="s">
        <v>223</v>
      </c>
      <c r="B21" s="305">
        <v>0</v>
      </c>
      <c r="C21" s="305">
        <v>0</v>
      </c>
      <c r="D21" s="305">
        <v>0</v>
      </c>
      <c r="E21" s="306">
        <v>0</v>
      </c>
      <c r="F21" s="307">
        <v>0</v>
      </c>
      <c r="G21" s="305">
        <v>0</v>
      </c>
      <c r="H21" s="305">
        <v>0</v>
      </c>
      <c r="I21" s="306">
        <v>0</v>
      </c>
      <c r="J21" s="308">
        <v>0</v>
      </c>
      <c r="K21" s="300">
        <v>82.1</v>
      </c>
      <c r="L21" s="300">
        <v>82.1</v>
      </c>
      <c r="M21" s="301">
        <v>82.1</v>
      </c>
      <c r="N21" s="290">
        <v>0</v>
      </c>
      <c r="O21" s="291">
        <v>0</v>
      </c>
      <c r="P21" s="310">
        <v>-371.4</v>
      </c>
      <c r="Q21" s="292">
        <v>-371.4</v>
      </c>
      <c r="R21" s="290">
        <v>0</v>
      </c>
      <c r="S21" s="291">
        <v>0</v>
      </c>
      <c r="T21" s="291">
        <v>0</v>
      </c>
      <c r="U21" s="292">
        <v>0</v>
      </c>
      <c r="V21" s="290">
        <v>58.7</v>
      </c>
      <c r="W21" s="291"/>
      <c r="X21" s="291"/>
      <c r="Y21" s="292"/>
    </row>
    <row r="22" spans="1:25" s="10" customFormat="1" ht="20.100000000000001" customHeight="1">
      <c r="A22" s="270" t="s">
        <v>222</v>
      </c>
      <c r="B22" s="305">
        <v>0</v>
      </c>
      <c r="C22" s="305">
        <v>0</v>
      </c>
      <c r="D22" s="305">
        <v>0</v>
      </c>
      <c r="E22" s="306">
        <v>0</v>
      </c>
      <c r="F22" s="307">
        <v>0</v>
      </c>
      <c r="G22" s="305">
        <v>0</v>
      </c>
      <c r="H22" s="305">
        <v>0</v>
      </c>
      <c r="I22" s="306">
        <v>0</v>
      </c>
      <c r="J22" s="308">
        <v>0</v>
      </c>
      <c r="K22" s="300">
        <v>16.5</v>
      </c>
      <c r="L22" s="300">
        <v>55.4</v>
      </c>
      <c r="M22" s="301">
        <v>84.3</v>
      </c>
      <c r="N22" s="290">
        <v>10.6</v>
      </c>
      <c r="O22" s="291">
        <v>33.9</v>
      </c>
      <c r="P22" s="291">
        <v>37.6</v>
      </c>
      <c r="Q22" s="292">
        <v>53</v>
      </c>
      <c r="R22" s="290">
        <v>-174.6</v>
      </c>
      <c r="S22" s="291">
        <v>-160.19999999999999</v>
      </c>
      <c r="T22" s="291">
        <v>-161.9</v>
      </c>
      <c r="U22" s="292">
        <v>-164.9</v>
      </c>
      <c r="V22" s="290">
        <v>-0.1</v>
      </c>
      <c r="W22" s="291"/>
      <c r="X22" s="291"/>
      <c r="Y22" s="292"/>
    </row>
    <row r="23" spans="1:25" s="10" customFormat="1" ht="20.100000000000001" customHeight="1" thickBot="1">
      <c r="A23" s="270" t="s">
        <v>34</v>
      </c>
      <c r="B23" s="291">
        <v>0.245</v>
      </c>
      <c r="C23" s="291">
        <v>0.78500000000000003</v>
      </c>
      <c r="D23" s="291">
        <v>1.31</v>
      </c>
      <c r="E23" s="415">
        <v>3.5380000000000003</v>
      </c>
      <c r="F23" s="290">
        <v>1.484</v>
      </c>
      <c r="G23" s="310">
        <f>4.197+4.842</f>
        <v>9.0389999999999997</v>
      </c>
      <c r="H23" s="310">
        <f>5.852+4.842</f>
        <v>10.693999999999999</v>
      </c>
      <c r="I23" s="415">
        <v>11.93</v>
      </c>
      <c r="J23" s="300">
        <v>1.7790000000000001</v>
      </c>
      <c r="K23" s="300">
        <v>10.8</v>
      </c>
      <c r="L23" s="300">
        <v>11.7</v>
      </c>
      <c r="M23" s="301">
        <v>96.1</v>
      </c>
      <c r="N23" s="290">
        <v>-3</v>
      </c>
      <c r="O23" s="291">
        <v>9</v>
      </c>
      <c r="P23" s="291">
        <v>19.600000000000001</v>
      </c>
      <c r="Q23" s="292">
        <v>21.6</v>
      </c>
      <c r="R23" s="290">
        <v>2.5</v>
      </c>
      <c r="S23" s="291">
        <v>-1.9</v>
      </c>
      <c r="T23" s="291">
        <v>22.5</v>
      </c>
      <c r="U23" s="292">
        <v>24</v>
      </c>
      <c r="V23" s="290">
        <v>-2.1</v>
      </c>
      <c r="W23" s="291"/>
      <c r="X23" s="291"/>
      <c r="Y23" s="292"/>
    </row>
    <row r="24" spans="1:25" s="10" customFormat="1" ht="20.100000000000001" customHeight="1" thickBot="1">
      <c r="A24" s="269" t="s">
        <v>37</v>
      </c>
      <c r="B24" s="288">
        <f t="shared" ref="B24:V24" si="1">B4+B5</f>
        <v>233.42699999999999</v>
      </c>
      <c r="C24" s="288">
        <f t="shared" si="1"/>
        <v>415.61099999999999</v>
      </c>
      <c r="D24" s="288">
        <f t="shared" si="1"/>
        <v>628.7700000000001</v>
      </c>
      <c r="E24" s="413">
        <f t="shared" si="1"/>
        <v>843.21800000000007</v>
      </c>
      <c r="F24" s="287">
        <f t="shared" si="1"/>
        <v>165.66199999999998</v>
      </c>
      <c r="G24" s="288">
        <f t="shared" si="1"/>
        <v>351.928</v>
      </c>
      <c r="H24" s="288">
        <f t="shared" si="1"/>
        <v>548.24399999999991</v>
      </c>
      <c r="I24" s="413">
        <f t="shared" si="1"/>
        <v>859.7349999999999</v>
      </c>
      <c r="J24" s="288">
        <f t="shared" si="1"/>
        <v>184.70400000000001</v>
      </c>
      <c r="K24" s="288">
        <f t="shared" si="1"/>
        <v>735.69999999999982</v>
      </c>
      <c r="L24" s="288">
        <f t="shared" si="1"/>
        <v>1423.9000000000003</v>
      </c>
      <c r="M24" s="299">
        <f t="shared" si="1"/>
        <v>2117.7999999999997</v>
      </c>
      <c r="N24" s="287">
        <f t="shared" si="1"/>
        <v>453.00000000000011</v>
      </c>
      <c r="O24" s="288">
        <f t="shared" si="1"/>
        <v>1327.9999999999995</v>
      </c>
      <c r="P24" s="288">
        <f t="shared" si="1"/>
        <v>2173.4999999999991</v>
      </c>
      <c r="Q24" s="289">
        <f t="shared" si="1"/>
        <v>2985.0999999999995</v>
      </c>
      <c r="R24" s="287">
        <f t="shared" si="1"/>
        <v>584.40000000000009</v>
      </c>
      <c r="S24" s="288">
        <f t="shared" si="1"/>
        <v>1549.4</v>
      </c>
      <c r="T24" s="288">
        <f t="shared" si="1"/>
        <v>2357.5000000000009</v>
      </c>
      <c r="U24" s="289">
        <f t="shared" si="1"/>
        <v>3151.5</v>
      </c>
      <c r="V24" s="287">
        <f t="shared" si="1"/>
        <v>780.70000000000027</v>
      </c>
      <c r="W24" s="288"/>
      <c r="X24" s="288"/>
      <c r="Y24" s="289"/>
    </row>
    <row r="25" spans="1:25" s="10" customFormat="1" ht="20.100000000000001" customHeight="1">
      <c r="A25" s="270" t="s">
        <v>35</v>
      </c>
      <c r="B25" s="291">
        <v>-12.561</v>
      </c>
      <c r="C25" s="291">
        <v>-47.188000000000002</v>
      </c>
      <c r="D25" s="291">
        <v>-59.765999999999998</v>
      </c>
      <c r="E25" s="415">
        <v>-78.733000000000004</v>
      </c>
      <c r="F25" s="290">
        <v>-13.763</v>
      </c>
      <c r="G25" s="291">
        <v>-26.318999999999999</v>
      </c>
      <c r="H25" s="291">
        <v>-37.451999999999998</v>
      </c>
      <c r="I25" s="415">
        <v>-67.486000000000004</v>
      </c>
      <c r="J25" s="300">
        <v>-17.809000000000001</v>
      </c>
      <c r="K25" s="300">
        <v>-99.5</v>
      </c>
      <c r="L25" s="300">
        <v>-135.19999999999999</v>
      </c>
      <c r="M25" s="301">
        <v>-189.1</v>
      </c>
      <c r="N25" s="290">
        <v>-48.5</v>
      </c>
      <c r="O25" s="291">
        <v>-44.2</v>
      </c>
      <c r="P25" s="291">
        <v>-94.2</v>
      </c>
      <c r="Q25" s="292">
        <v>-136.19999999999999</v>
      </c>
      <c r="R25" s="290">
        <v>-145.69999999999999</v>
      </c>
      <c r="S25" s="291">
        <v>-186.5</v>
      </c>
      <c r="T25" s="291">
        <v>-236.1</v>
      </c>
      <c r="U25" s="292">
        <v>-292.7</v>
      </c>
      <c r="V25" s="290">
        <v>-43.5</v>
      </c>
      <c r="W25" s="291"/>
      <c r="X25" s="291"/>
      <c r="Y25" s="292"/>
    </row>
    <row r="26" spans="1:25" s="10" customFormat="1" ht="20.100000000000001" customHeight="1" thickBot="1">
      <c r="A26" s="270" t="s">
        <v>36</v>
      </c>
      <c r="B26" s="291">
        <v>3.843</v>
      </c>
      <c r="C26" s="291">
        <v>8.1440000000000001</v>
      </c>
      <c r="D26" s="291">
        <v>12.96</v>
      </c>
      <c r="E26" s="415">
        <v>16.882000000000001</v>
      </c>
      <c r="F26" s="290">
        <v>3.544</v>
      </c>
      <c r="G26" s="291">
        <v>6.1040000000000001</v>
      </c>
      <c r="H26" s="291">
        <v>8.5630000000000006</v>
      </c>
      <c r="I26" s="415">
        <v>10.41</v>
      </c>
      <c r="J26" s="300">
        <v>2.165</v>
      </c>
      <c r="K26" s="300">
        <v>13.4</v>
      </c>
      <c r="L26" s="300">
        <v>33.1</v>
      </c>
      <c r="M26" s="301">
        <v>45.2</v>
      </c>
      <c r="N26" s="290">
        <v>13.2</v>
      </c>
      <c r="O26" s="291">
        <v>20.5</v>
      </c>
      <c r="P26" s="291">
        <v>30.5</v>
      </c>
      <c r="Q26" s="292">
        <v>38.799999999999997</v>
      </c>
      <c r="R26" s="290">
        <v>8.1</v>
      </c>
      <c r="S26" s="291">
        <v>13.1</v>
      </c>
      <c r="T26" s="291">
        <v>19.5</v>
      </c>
      <c r="U26" s="292">
        <v>25.9</v>
      </c>
      <c r="V26" s="290">
        <v>14.5</v>
      </c>
      <c r="W26" s="291"/>
      <c r="X26" s="291"/>
      <c r="Y26" s="292"/>
    </row>
    <row r="27" spans="1:25" s="10" customFormat="1" ht="24.95" customHeight="1" thickBot="1">
      <c r="A27" s="13" t="s">
        <v>67</v>
      </c>
      <c r="B27" s="294">
        <f t="shared" ref="B27:Q27" si="2">SUM(B24:B26)</f>
        <v>224.70899999999997</v>
      </c>
      <c r="C27" s="294">
        <f t="shared" si="2"/>
        <v>376.56700000000001</v>
      </c>
      <c r="D27" s="294">
        <f t="shared" si="2"/>
        <v>581.96400000000017</v>
      </c>
      <c r="E27" s="283">
        <f t="shared" si="2"/>
        <v>781.36700000000008</v>
      </c>
      <c r="F27" s="293">
        <f t="shared" si="2"/>
        <v>155.44299999999998</v>
      </c>
      <c r="G27" s="294">
        <f t="shared" si="2"/>
        <v>331.71299999999997</v>
      </c>
      <c r="H27" s="294">
        <f t="shared" si="2"/>
        <v>519.3549999999999</v>
      </c>
      <c r="I27" s="283">
        <f t="shared" si="2"/>
        <v>802.65899999999988</v>
      </c>
      <c r="J27" s="294">
        <f t="shared" si="2"/>
        <v>169.06</v>
      </c>
      <c r="K27" s="294">
        <f t="shared" si="2"/>
        <v>649.5999999999998</v>
      </c>
      <c r="L27" s="294">
        <f t="shared" si="2"/>
        <v>1321.8000000000002</v>
      </c>
      <c r="M27" s="302">
        <f t="shared" si="2"/>
        <v>1973.8999999999999</v>
      </c>
      <c r="N27" s="293">
        <f t="shared" si="2"/>
        <v>417.7000000000001</v>
      </c>
      <c r="O27" s="294">
        <f t="shared" si="2"/>
        <v>1304.2999999999995</v>
      </c>
      <c r="P27" s="294">
        <f t="shared" si="2"/>
        <v>2109.7999999999993</v>
      </c>
      <c r="Q27" s="295">
        <f t="shared" si="2"/>
        <v>2887.7</v>
      </c>
      <c r="R27" s="293">
        <f t="shared" ref="R27" si="3">SUM(R24:R26)</f>
        <v>446.80000000000013</v>
      </c>
      <c r="S27" s="294">
        <f t="shared" ref="S27:T27" si="4">SUM(S24:S26)</f>
        <v>1376</v>
      </c>
      <c r="T27" s="294">
        <f t="shared" si="4"/>
        <v>2140.900000000001</v>
      </c>
      <c r="U27" s="295">
        <f t="shared" ref="U27:V27" si="5">SUM(U24:U26)</f>
        <v>2884.7000000000003</v>
      </c>
      <c r="V27" s="293">
        <f t="shared" si="5"/>
        <v>751.70000000000027</v>
      </c>
      <c r="W27" s="294"/>
      <c r="X27" s="294"/>
      <c r="Y27" s="295"/>
    </row>
    <row r="28" spans="1:25" s="10" customFormat="1" ht="20.100000000000001" customHeight="1">
      <c r="A28" s="270" t="s">
        <v>39</v>
      </c>
      <c r="B28" s="291">
        <v>-13.759</v>
      </c>
      <c r="C28" s="291">
        <v>-28.18</v>
      </c>
      <c r="D28" s="291">
        <v>-40.478000000000002</v>
      </c>
      <c r="E28" s="415">
        <v>-54.936999999999998</v>
      </c>
      <c r="F28" s="290">
        <v>-21.702999999999999</v>
      </c>
      <c r="G28" s="291">
        <v>-40.633000000000003</v>
      </c>
      <c r="H28" s="291">
        <v>-53.000999999999998</v>
      </c>
      <c r="I28" s="415">
        <v>-60.844999999999999</v>
      </c>
      <c r="J28" s="300">
        <v>-19.433</v>
      </c>
      <c r="K28" s="300">
        <v>-93</v>
      </c>
      <c r="L28" s="300">
        <v>-180</v>
      </c>
      <c r="M28" s="301">
        <v>-263.60000000000002</v>
      </c>
      <c r="N28" s="290">
        <v>-137.6</v>
      </c>
      <c r="O28" s="291">
        <v>-187</v>
      </c>
      <c r="P28" s="291">
        <v>-323.2</v>
      </c>
      <c r="Q28" s="292">
        <v>-417.8</v>
      </c>
      <c r="R28" s="290">
        <v>-98.4</v>
      </c>
      <c r="S28" s="291">
        <v>-179.5</v>
      </c>
      <c r="T28" s="291">
        <v>-301.2</v>
      </c>
      <c r="U28" s="292">
        <v>-436.2</v>
      </c>
      <c r="V28" s="290">
        <v>-138.9</v>
      </c>
      <c r="W28" s="291"/>
      <c r="X28" s="291"/>
      <c r="Y28" s="292"/>
    </row>
    <row r="29" spans="1:25" s="10" customFormat="1" ht="20.100000000000001" customHeight="1">
      <c r="A29" s="270" t="s">
        <v>38</v>
      </c>
      <c r="B29" s="291">
        <v>-7.0449999999999999</v>
      </c>
      <c r="C29" s="291">
        <v>-11.33</v>
      </c>
      <c r="D29" s="291">
        <v>-23.225000000000001</v>
      </c>
      <c r="E29" s="415">
        <v>-36.24</v>
      </c>
      <c r="F29" s="290">
        <v>-13.377000000000001</v>
      </c>
      <c r="G29" s="291">
        <v>-20.378</v>
      </c>
      <c r="H29" s="291">
        <v>-45.453000000000003</v>
      </c>
      <c r="I29" s="415">
        <v>-62.041000000000004</v>
      </c>
      <c r="J29" s="300">
        <v>-19.987000000000002</v>
      </c>
      <c r="K29" s="300">
        <v>-46.6</v>
      </c>
      <c r="L29" s="300">
        <v>-57.4</v>
      </c>
      <c r="M29" s="301">
        <v>-71.8</v>
      </c>
      <c r="N29" s="290">
        <v>-19.100000000000001</v>
      </c>
      <c r="O29" s="291">
        <v>-90.7</v>
      </c>
      <c r="P29" s="291">
        <v>-111.1</v>
      </c>
      <c r="Q29" s="292">
        <v>-165.3</v>
      </c>
      <c r="R29" s="290">
        <v>-20.3</v>
      </c>
      <c r="S29" s="291">
        <v>-61.3</v>
      </c>
      <c r="T29" s="291">
        <v>-94.6</v>
      </c>
      <c r="U29" s="292">
        <v>-154.19999999999999</v>
      </c>
      <c r="V29" s="290">
        <v>-33.200000000000003</v>
      </c>
      <c r="W29" s="291"/>
      <c r="X29" s="291"/>
      <c r="Y29" s="292"/>
    </row>
    <row r="30" spans="1:25" s="10" customFormat="1" ht="20.100000000000001" customHeight="1">
      <c r="A30" s="270" t="s">
        <v>97</v>
      </c>
      <c r="B30" s="305">
        <v>0</v>
      </c>
      <c r="C30" s="305">
        <v>0</v>
      </c>
      <c r="D30" s="305">
        <v>0</v>
      </c>
      <c r="E30" s="306">
        <v>0</v>
      </c>
      <c r="F30" s="307">
        <v>0</v>
      </c>
      <c r="G30" s="305">
        <v>0</v>
      </c>
      <c r="H30" s="305">
        <v>0</v>
      </c>
      <c r="I30" s="306">
        <v>0</v>
      </c>
      <c r="J30" s="307">
        <v>0</v>
      </c>
      <c r="K30" s="291">
        <v>0</v>
      </c>
      <c r="L30" s="291">
        <v>-482.3</v>
      </c>
      <c r="M30" s="301">
        <v>-482.3</v>
      </c>
      <c r="N30" s="290">
        <v>0</v>
      </c>
      <c r="O30" s="291">
        <v>0</v>
      </c>
      <c r="P30" s="291">
        <v>-118.7</v>
      </c>
      <c r="Q30" s="292">
        <v>-118.7</v>
      </c>
      <c r="R30" s="290">
        <v>-147.69999999999999</v>
      </c>
      <c r="S30" s="291">
        <v>-147.69999999999999</v>
      </c>
      <c r="T30" s="291">
        <v>-268.5</v>
      </c>
      <c r="U30" s="292">
        <v>-268.5</v>
      </c>
      <c r="V30" s="290">
        <v>0</v>
      </c>
      <c r="W30" s="291"/>
      <c r="X30" s="291"/>
      <c r="Y30" s="292"/>
    </row>
    <row r="31" spans="1:25" s="10" customFormat="1" ht="20.100000000000001" customHeight="1">
      <c r="A31" s="270" t="s">
        <v>70</v>
      </c>
      <c r="B31" s="291">
        <v>-2.3290000000000002</v>
      </c>
      <c r="C31" s="291">
        <v>-45.099000000000004</v>
      </c>
      <c r="D31" s="291">
        <v>-45.329000000000001</v>
      </c>
      <c r="E31" s="415">
        <v>-45.710999999999999</v>
      </c>
      <c r="F31" s="290">
        <v>-0.153</v>
      </c>
      <c r="G31" s="291">
        <v>-0.26800000000000002</v>
      </c>
      <c r="H31" s="291">
        <v>-64.186999999999998</v>
      </c>
      <c r="I31" s="415">
        <v>-64.266000000000005</v>
      </c>
      <c r="J31" s="308">
        <v>0</v>
      </c>
      <c r="K31" s="300">
        <v>1800.4</v>
      </c>
      <c r="L31" s="300">
        <v>1800.4</v>
      </c>
      <c r="M31" s="301">
        <v>1800.4</v>
      </c>
      <c r="N31" s="290">
        <v>-4.2</v>
      </c>
      <c r="O31" s="291">
        <v>-29.5</v>
      </c>
      <c r="P31" s="291">
        <v>-29.5</v>
      </c>
      <c r="Q31" s="292">
        <v>-29.5</v>
      </c>
      <c r="R31" s="290">
        <v>262.2</v>
      </c>
      <c r="S31" s="291">
        <v>-145.30000000000001</v>
      </c>
      <c r="T31" s="291">
        <v>-144.4</v>
      </c>
      <c r="U31" s="292">
        <v>-144.4</v>
      </c>
      <c r="V31" s="290">
        <v>0</v>
      </c>
      <c r="W31" s="291"/>
      <c r="X31" s="291"/>
      <c r="Y31" s="292"/>
    </row>
    <row r="32" spans="1:25" s="10" customFormat="1" ht="20.100000000000001" customHeight="1">
      <c r="A32" s="270" t="s">
        <v>206</v>
      </c>
      <c r="B32" s="305">
        <v>0</v>
      </c>
      <c r="C32" s="305">
        <v>0</v>
      </c>
      <c r="D32" s="305">
        <v>0</v>
      </c>
      <c r="E32" s="306">
        <v>0</v>
      </c>
      <c r="F32" s="307">
        <v>0</v>
      </c>
      <c r="G32" s="305">
        <v>0</v>
      </c>
      <c r="H32" s="291">
        <v>48.219000000000001</v>
      </c>
      <c r="I32" s="415">
        <v>48.736000000000004</v>
      </c>
      <c r="J32" s="308">
        <v>0</v>
      </c>
      <c r="K32" s="300">
        <v>0</v>
      </c>
      <c r="L32" s="300">
        <v>0</v>
      </c>
      <c r="M32" s="301">
        <v>0</v>
      </c>
      <c r="N32" s="290">
        <v>0</v>
      </c>
      <c r="O32" s="291">
        <v>0</v>
      </c>
      <c r="P32" s="291">
        <v>0</v>
      </c>
      <c r="Q32" s="292">
        <v>0</v>
      </c>
      <c r="R32" s="290">
        <v>0</v>
      </c>
      <c r="S32" s="310">
        <v>0.2</v>
      </c>
      <c r="T32" s="310">
        <v>0.2</v>
      </c>
      <c r="U32" s="292">
        <v>0</v>
      </c>
      <c r="V32" s="290">
        <v>0</v>
      </c>
      <c r="W32" s="310"/>
      <c r="X32" s="310"/>
      <c r="Y32" s="292"/>
    </row>
    <row r="33" spans="1:25" s="10" customFormat="1" ht="20.100000000000001" customHeight="1">
      <c r="A33" s="270" t="s">
        <v>48</v>
      </c>
      <c r="B33" s="291">
        <v>0.09</v>
      </c>
      <c r="C33" s="291">
        <v>0.121</v>
      </c>
      <c r="D33" s="291">
        <v>0.69000000000000006</v>
      </c>
      <c r="E33" s="415">
        <v>0.751</v>
      </c>
      <c r="F33" s="290">
        <v>0.35000000000000003</v>
      </c>
      <c r="G33" s="291">
        <v>0.41000000000000003</v>
      </c>
      <c r="H33" s="291">
        <v>1.756</v>
      </c>
      <c r="I33" s="415">
        <v>2.0640000000000001</v>
      </c>
      <c r="J33" s="308">
        <v>0.33700000000000002</v>
      </c>
      <c r="K33" s="300">
        <v>1.6</v>
      </c>
      <c r="L33" s="300">
        <v>4</v>
      </c>
      <c r="M33" s="301">
        <v>4.0999999999999996</v>
      </c>
      <c r="N33" s="290">
        <v>0.2</v>
      </c>
      <c r="O33" s="291">
        <v>13.3</v>
      </c>
      <c r="P33" s="291">
        <v>15.1</v>
      </c>
      <c r="Q33" s="292">
        <v>16.899999999999999</v>
      </c>
      <c r="R33" s="290">
        <v>3.5</v>
      </c>
      <c r="S33" s="291">
        <v>5</v>
      </c>
      <c r="T33" s="291">
        <v>6.3</v>
      </c>
      <c r="U33" s="292">
        <v>9.5</v>
      </c>
      <c r="V33" s="290">
        <v>12.8</v>
      </c>
      <c r="W33" s="291"/>
      <c r="X33" s="291"/>
      <c r="Y33" s="292"/>
    </row>
    <row r="34" spans="1:25" s="10" customFormat="1" ht="20.100000000000001" customHeight="1">
      <c r="A34" s="270" t="s">
        <v>94</v>
      </c>
      <c r="B34" s="305">
        <v>0</v>
      </c>
      <c r="C34" s="305">
        <v>0</v>
      </c>
      <c r="D34" s="305">
        <v>0</v>
      </c>
      <c r="E34" s="306">
        <v>0</v>
      </c>
      <c r="F34" s="307">
        <v>0</v>
      </c>
      <c r="G34" s="305">
        <v>0</v>
      </c>
      <c r="H34" s="305">
        <v>0</v>
      </c>
      <c r="I34" s="306">
        <v>0</v>
      </c>
      <c r="J34" s="308">
        <v>0</v>
      </c>
      <c r="K34" s="300">
        <v>-270</v>
      </c>
      <c r="L34" s="300">
        <v>-30</v>
      </c>
      <c r="M34" s="301">
        <v>0</v>
      </c>
      <c r="N34" s="290">
        <v>-42.7</v>
      </c>
      <c r="O34" s="291">
        <v>-42.7</v>
      </c>
      <c r="P34" s="291">
        <v>0</v>
      </c>
      <c r="Q34" s="292">
        <v>0</v>
      </c>
      <c r="R34" s="290">
        <v>-12.4</v>
      </c>
      <c r="S34" s="291">
        <v>0</v>
      </c>
      <c r="T34" s="291">
        <v>0</v>
      </c>
      <c r="U34" s="292">
        <v>0</v>
      </c>
      <c r="V34" s="290">
        <v>0</v>
      </c>
      <c r="W34" s="291"/>
      <c r="X34" s="291"/>
      <c r="Y34" s="292"/>
    </row>
    <row r="35" spans="1:25" s="10" customFormat="1" ht="20.100000000000001" customHeight="1">
      <c r="A35" s="270" t="s">
        <v>47</v>
      </c>
      <c r="B35" s="291">
        <v>-1.1000000000000001</v>
      </c>
      <c r="C35" s="291">
        <v>-1.1000000000000001</v>
      </c>
      <c r="D35" s="291">
        <v>-1.1000000000000001</v>
      </c>
      <c r="E35" s="415">
        <v>-1.1000000000000001</v>
      </c>
      <c r="F35" s="307">
        <v>0</v>
      </c>
      <c r="G35" s="305">
        <v>0</v>
      </c>
      <c r="H35" s="305">
        <v>0</v>
      </c>
      <c r="I35" s="306">
        <v>0</v>
      </c>
      <c r="J35" s="308">
        <v>0</v>
      </c>
      <c r="K35" s="300">
        <v>-5.8</v>
      </c>
      <c r="L35" s="300">
        <v>-20.399999999999999</v>
      </c>
      <c r="M35" s="301">
        <v>-23.1</v>
      </c>
      <c r="N35" s="290">
        <v>-6</v>
      </c>
      <c r="O35" s="291">
        <v>-8.9</v>
      </c>
      <c r="P35" s="291">
        <v>-12.1</v>
      </c>
      <c r="Q35" s="292">
        <v>-16.100000000000001</v>
      </c>
      <c r="R35" s="290">
        <v>-6.8</v>
      </c>
      <c r="S35" s="291">
        <v>-9.5</v>
      </c>
      <c r="T35" s="291">
        <v>-10.5</v>
      </c>
      <c r="U35" s="292">
        <v>-11.6</v>
      </c>
      <c r="V35" s="290">
        <v>0</v>
      </c>
      <c r="W35" s="291"/>
      <c r="X35" s="291"/>
      <c r="Y35" s="292"/>
    </row>
    <row r="36" spans="1:25" s="10" customFormat="1" ht="20.100000000000001" customHeight="1">
      <c r="A36" s="270" t="s">
        <v>49</v>
      </c>
      <c r="B36" s="291">
        <v>0</v>
      </c>
      <c r="C36" s="291">
        <v>1.1000000000000001</v>
      </c>
      <c r="D36" s="291">
        <v>1.1000000000000001</v>
      </c>
      <c r="E36" s="415">
        <v>1.1000000000000001</v>
      </c>
      <c r="F36" s="307">
        <v>0</v>
      </c>
      <c r="G36" s="305">
        <v>0</v>
      </c>
      <c r="H36" s="305">
        <v>0</v>
      </c>
      <c r="I36" s="306">
        <v>0</v>
      </c>
      <c r="J36" s="308">
        <v>0</v>
      </c>
      <c r="K36" s="300">
        <v>0</v>
      </c>
      <c r="L36" s="300">
        <v>0</v>
      </c>
      <c r="M36" s="301">
        <v>0</v>
      </c>
      <c r="N36" s="290">
        <v>0</v>
      </c>
      <c r="O36" s="291">
        <v>0</v>
      </c>
      <c r="P36" s="291">
        <v>0</v>
      </c>
      <c r="Q36" s="292">
        <v>0</v>
      </c>
      <c r="R36" s="290">
        <v>0</v>
      </c>
      <c r="S36" s="291">
        <v>0</v>
      </c>
      <c r="T36" s="291">
        <v>0</v>
      </c>
      <c r="U36" s="292">
        <v>0.1</v>
      </c>
      <c r="V36" s="290">
        <v>0</v>
      </c>
      <c r="W36" s="291"/>
      <c r="X36" s="291"/>
      <c r="Y36" s="292"/>
    </row>
    <row r="37" spans="1:25" s="10" customFormat="1" ht="20.100000000000001" customHeight="1">
      <c r="A37" s="270" t="s">
        <v>93</v>
      </c>
      <c r="B37" s="305">
        <v>0</v>
      </c>
      <c r="C37" s="305">
        <v>0</v>
      </c>
      <c r="D37" s="305">
        <v>0</v>
      </c>
      <c r="E37" s="306">
        <v>0</v>
      </c>
      <c r="F37" s="307">
        <v>0</v>
      </c>
      <c r="G37" s="305">
        <v>0</v>
      </c>
      <c r="H37" s="305">
        <v>0</v>
      </c>
      <c r="I37" s="306">
        <v>0</v>
      </c>
      <c r="J37" s="308">
        <v>0</v>
      </c>
      <c r="K37" s="300">
        <v>5</v>
      </c>
      <c r="L37" s="300">
        <v>5.5</v>
      </c>
      <c r="M37" s="301">
        <v>6.6</v>
      </c>
      <c r="N37" s="290">
        <v>1.2</v>
      </c>
      <c r="O37" s="291">
        <v>-2.1</v>
      </c>
      <c r="P37" s="291">
        <v>3.2</v>
      </c>
      <c r="Q37" s="292">
        <v>3.9</v>
      </c>
      <c r="R37" s="290">
        <v>-5</v>
      </c>
      <c r="S37" s="291">
        <v>-4</v>
      </c>
      <c r="T37" s="291">
        <v>-3.5</v>
      </c>
      <c r="U37" s="292">
        <v>-1.6</v>
      </c>
      <c r="V37" s="290">
        <v>-1.1000000000000001</v>
      </c>
      <c r="W37" s="291"/>
      <c r="X37" s="291"/>
      <c r="Y37" s="292"/>
    </row>
    <row r="38" spans="1:25" s="10" customFormat="1" ht="20.100000000000001" customHeight="1">
      <c r="A38" s="270" t="s">
        <v>78</v>
      </c>
      <c r="B38" s="305">
        <v>0</v>
      </c>
      <c r="C38" s="291">
        <v>1.258</v>
      </c>
      <c r="D38" s="291">
        <v>1.258</v>
      </c>
      <c r="E38" s="415">
        <v>2.706</v>
      </c>
      <c r="F38" s="290">
        <v>0</v>
      </c>
      <c r="G38" s="291">
        <v>2.5150000000000001</v>
      </c>
      <c r="H38" s="291">
        <v>2.5150000000000001</v>
      </c>
      <c r="I38" s="415">
        <v>2.5150000000000001</v>
      </c>
      <c r="J38" s="300">
        <v>2.5300000000000002</v>
      </c>
      <c r="K38" s="300">
        <v>2.5</v>
      </c>
      <c r="L38" s="300">
        <v>2.5</v>
      </c>
      <c r="M38" s="301">
        <v>2.5</v>
      </c>
      <c r="N38" s="290">
        <v>0</v>
      </c>
      <c r="O38" s="291">
        <v>0</v>
      </c>
      <c r="P38" s="291">
        <v>0</v>
      </c>
      <c r="Q38" s="292">
        <v>0</v>
      </c>
      <c r="R38" s="290">
        <v>0</v>
      </c>
      <c r="S38" s="291">
        <v>0</v>
      </c>
      <c r="T38" s="291">
        <v>0</v>
      </c>
      <c r="U38" s="292">
        <v>0</v>
      </c>
      <c r="V38" s="290">
        <v>0</v>
      </c>
      <c r="W38" s="291"/>
      <c r="X38" s="291"/>
      <c r="Y38" s="292"/>
    </row>
    <row r="39" spans="1:25" s="10" customFormat="1" ht="20.100000000000001" customHeight="1" thickBot="1">
      <c r="A39" s="270" t="s">
        <v>71</v>
      </c>
      <c r="B39" s="305">
        <v>0</v>
      </c>
      <c r="C39" s="305">
        <v>0</v>
      </c>
      <c r="D39" s="305">
        <v>0</v>
      </c>
      <c r="E39" s="306">
        <v>0</v>
      </c>
      <c r="F39" s="307">
        <v>0</v>
      </c>
      <c r="G39" s="305">
        <v>0</v>
      </c>
      <c r="H39" s="305">
        <v>0</v>
      </c>
      <c r="I39" s="306">
        <v>0</v>
      </c>
      <c r="J39" s="308">
        <v>0</v>
      </c>
      <c r="K39" s="300">
        <v>0</v>
      </c>
      <c r="L39" s="300">
        <v>0</v>
      </c>
      <c r="M39" s="301">
        <v>0</v>
      </c>
      <c r="N39" s="290">
        <v>0</v>
      </c>
      <c r="O39" s="291">
        <v>0</v>
      </c>
      <c r="P39" s="291">
        <v>0</v>
      </c>
      <c r="Q39" s="292">
        <v>0</v>
      </c>
      <c r="R39" s="290">
        <v>0</v>
      </c>
      <c r="S39" s="291">
        <v>1</v>
      </c>
      <c r="T39" s="291">
        <v>1</v>
      </c>
      <c r="U39" s="292">
        <v>3.5</v>
      </c>
      <c r="V39" s="290">
        <v>1.2</v>
      </c>
      <c r="W39" s="291"/>
      <c r="X39" s="291"/>
      <c r="Y39" s="292"/>
    </row>
    <row r="40" spans="1:25" s="10" customFormat="1" ht="24.95" customHeight="1" thickBot="1">
      <c r="A40" s="13" t="s">
        <v>68</v>
      </c>
      <c r="B40" s="294">
        <f t="shared" ref="B40:V40" si="6">SUM(B28:B39)</f>
        <v>-24.143000000000004</v>
      </c>
      <c r="C40" s="294">
        <f t="shared" si="6"/>
        <v>-83.230000000000018</v>
      </c>
      <c r="D40" s="294">
        <f t="shared" si="6"/>
        <v>-107.08400000000002</v>
      </c>
      <c r="E40" s="283">
        <f t="shared" si="6"/>
        <v>-133.43099999999998</v>
      </c>
      <c r="F40" s="293">
        <f t="shared" si="6"/>
        <v>-34.882999999999996</v>
      </c>
      <c r="G40" s="294">
        <f t="shared" si="6"/>
        <v>-58.354000000000006</v>
      </c>
      <c r="H40" s="294">
        <f t="shared" si="6"/>
        <v>-110.15100000000002</v>
      </c>
      <c r="I40" s="283">
        <f t="shared" si="6"/>
        <v>-133.83700000000002</v>
      </c>
      <c r="J40" s="293">
        <f t="shared" si="6"/>
        <v>-36.552999999999997</v>
      </c>
      <c r="K40" s="294">
        <f t="shared" si="6"/>
        <v>1394.1000000000001</v>
      </c>
      <c r="L40" s="294">
        <f t="shared" si="6"/>
        <v>1042.3</v>
      </c>
      <c r="M40" s="302">
        <f t="shared" si="6"/>
        <v>972.80000000000007</v>
      </c>
      <c r="N40" s="293">
        <f t="shared" si="6"/>
        <v>-208.2</v>
      </c>
      <c r="O40" s="294">
        <f t="shared" si="6"/>
        <v>-347.59999999999997</v>
      </c>
      <c r="P40" s="294">
        <f t="shared" si="6"/>
        <v>-576.29999999999995</v>
      </c>
      <c r="Q40" s="295">
        <f t="shared" si="6"/>
        <v>-726.60000000000014</v>
      </c>
      <c r="R40" s="293">
        <f t="shared" si="6"/>
        <v>-24.899999999999988</v>
      </c>
      <c r="S40" s="294">
        <f t="shared" si="6"/>
        <v>-541.09999999999991</v>
      </c>
      <c r="T40" s="294">
        <f t="shared" si="6"/>
        <v>-815.19999999999993</v>
      </c>
      <c r="U40" s="295">
        <f t="shared" si="6"/>
        <v>-1003.4</v>
      </c>
      <c r="V40" s="293">
        <f t="shared" si="6"/>
        <v>-159.20000000000002</v>
      </c>
      <c r="W40" s="294"/>
      <c r="X40" s="294"/>
      <c r="Y40" s="295"/>
    </row>
    <row r="41" spans="1:25" s="10" customFormat="1" ht="20.100000000000001" customHeight="1">
      <c r="A41" s="270" t="s">
        <v>44</v>
      </c>
      <c r="B41" s="291">
        <v>-26.754999999999999</v>
      </c>
      <c r="C41" s="291">
        <v>-155.76300000000001</v>
      </c>
      <c r="D41" s="291">
        <v>-397.57499999999999</v>
      </c>
      <c r="E41" s="415">
        <v>-453.32400000000001</v>
      </c>
      <c r="F41" s="290">
        <v>-49.813000000000002</v>
      </c>
      <c r="G41" s="291">
        <v>-192.59</v>
      </c>
      <c r="H41" s="291">
        <v>-366.16200000000003</v>
      </c>
      <c r="I41" s="415">
        <v>-431.11700000000002</v>
      </c>
      <c r="J41" s="300">
        <v>-37.393999999999998</v>
      </c>
      <c r="K41" s="300">
        <v>-547.1</v>
      </c>
      <c r="L41" s="300">
        <v>-747.1</v>
      </c>
      <c r="M41" s="301">
        <v>-1087.0999999999999</v>
      </c>
      <c r="N41" s="290">
        <v>-157</v>
      </c>
      <c r="O41" s="291">
        <v>-954.2</v>
      </c>
      <c r="P41" s="291">
        <v>-9222.2000000000007</v>
      </c>
      <c r="Q41" s="292">
        <v>-9222.2000000000007</v>
      </c>
      <c r="R41" s="290">
        <v>-916.1</v>
      </c>
      <c r="S41" s="291">
        <v>-1498.9</v>
      </c>
      <c r="T41" s="291">
        <v>-1706.9</v>
      </c>
      <c r="U41" s="292">
        <v>-1940.9</v>
      </c>
      <c r="V41" s="290">
        <v>-234</v>
      </c>
      <c r="W41" s="291"/>
      <c r="X41" s="291"/>
      <c r="Y41" s="292"/>
    </row>
    <row r="42" spans="1:25" s="10" customFormat="1" ht="20.100000000000001" customHeight="1">
      <c r="A42" s="270" t="s">
        <v>102</v>
      </c>
      <c r="B42" s="305">
        <v>0</v>
      </c>
      <c r="C42" s="305">
        <v>0</v>
      </c>
      <c r="D42" s="305">
        <v>0</v>
      </c>
      <c r="E42" s="306">
        <v>0</v>
      </c>
      <c r="F42" s="307">
        <v>0</v>
      </c>
      <c r="G42" s="305">
        <v>0</v>
      </c>
      <c r="H42" s="305">
        <v>0</v>
      </c>
      <c r="I42" s="306">
        <v>0</v>
      </c>
      <c r="J42" s="308">
        <v>0</v>
      </c>
      <c r="K42" s="300">
        <v>2800</v>
      </c>
      <c r="L42" s="300">
        <v>2800</v>
      </c>
      <c r="M42" s="301">
        <v>2800</v>
      </c>
      <c r="N42" s="290">
        <v>50</v>
      </c>
      <c r="O42" s="291">
        <v>120</v>
      </c>
      <c r="P42" s="291">
        <v>6820</v>
      </c>
      <c r="Q42" s="292">
        <v>6820</v>
      </c>
      <c r="R42" s="290">
        <v>5500</v>
      </c>
      <c r="S42" s="291">
        <v>5500</v>
      </c>
      <c r="T42" s="291">
        <v>5500</v>
      </c>
      <c r="U42" s="292">
        <v>5500</v>
      </c>
      <c r="V42" s="290">
        <v>0</v>
      </c>
      <c r="W42" s="291"/>
      <c r="X42" s="291"/>
      <c r="Y42" s="292"/>
    </row>
    <row r="43" spans="1:25" s="10" customFormat="1" ht="20.100000000000001" customHeight="1">
      <c r="A43" s="270" t="s">
        <v>207</v>
      </c>
      <c r="B43" s="305">
        <v>0</v>
      </c>
      <c r="C43" s="305">
        <v>0</v>
      </c>
      <c r="D43" s="305">
        <v>0</v>
      </c>
      <c r="E43" s="306">
        <v>0</v>
      </c>
      <c r="F43" s="307">
        <v>0</v>
      </c>
      <c r="G43" s="305">
        <v>0</v>
      </c>
      <c r="H43" s="305">
        <v>0</v>
      </c>
      <c r="I43" s="306">
        <v>0</v>
      </c>
      <c r="J43" s="308">
        <v>0</v>
      </c>
      <c r="K43" s="300">
        <v>-2275.9</v>
      </c>
      <c r="L43" s="300">
        <v>-2275.9</v>
      </c>
      <c r="M43" s="301">
        <v>-2275.9</v>
      </c>
      <c r="N43" s="290">
        <v>0</v>
      </c>
      <c r="O43" s="291">
        <v>0</v>
      </c>
      <c r="P43" s="291">
        <v>1000</v>
      </c>
      <c r="Q43" s="292">
        <v>1000</v>
      </c>
      <c r="R43" s="290">
        <v>-4483.8</v>
      </c>
      <c r="S43" s="291">
        <v>-4483.8</v>
      </c>
      <c r="T43" s="291">
        <v>-4483.8</v>
      </c>
      <c r="U43" s="292">
        <v>-4484</v>
      </c>
      <c r="V43" s="290">
        <v>0</v>
      </c>
      <c r="W43" s="291"/>
      <c r="X43" s="291"/>
      <c r="Y43" s="292"/>
    </row>
    <row r="44" spans="1:25" s="10" customFormat="1" ht="20.100000000000001" customHeight="1">
      <c r="A44" s="270" t="s">
        <v>181</v>
      </c>
      <c r="B44" s="305"/>
      <c r="C44" s="305"/>
      <c r="D44" s="305"/>
      <c r="E44" s="306"/>
      <c r="F44" s="307"/>
      <c r="G44" s="305"/>
      <c r="H44" s="305"/>
      <c r="I44" s="306"/>
      <c r="J44" s="308"/>
      <c r="K44" s="300"/>
      <c r="L44" s="300"/>
      <c r="M44" s="301"/>
      <c r="N44" s="290"/>
      <c r="O44" s="291"/>
      <c r="P44" s="291"/>
      <c r="Q44" s="292"/>
      <c r="R44" s="290">
        <v>-262.10000000000002</v>
      </c>
      <c r="S44" s="291">
        <v>-262.10000000000002</v>
      </c>
      <c r="T44" s="291">
        <v>-262.10000000000002</v>
      </c>
      <c r="U44" s="292">
        <v>-262.10000000000002</v>
      </c>
      <c r="V44" s="290">
        <v>0</v>
      </c>
      <c r="W44" s="291"/>
      <c r="X44" s="291"/>
      <c r="Y44" s="292"/>
    </row>
    <row r="45" spans="1:25" s="10" customFormat="1" ht="20.100000000000001" customHeight="1">
      <c r="A45" s="270" t="s">
        <v>182</v>
      </c>
      <c r="B45" s="305"/>
      <c r="C45" s="305"/>
      <c r="D45" s="305"/>
      <c r="E45" s="306"/>
      <c r="F45" s="307"/>
      <c r="G45" s="305"/>
      <c r="H45" s="305"/>
      <c r="I45" s="306"/>
      <c r="J45" s="308"/>
      <c r="K45" s="300"/>
      <c r="L45" s="300"/>
      <c r="M45" s="301"/>
      <c r="N45" s="290"/>
      <c r="O45" s="291"/>
      <c r="P45" s="291"/>
      <c r="Q45" s="292"/>
      <c r="R45" s="290">
        <v>175.4</v>
      </c>
      <c r="S45" s="291">
        <v>175.4</v>
      </c>
      <c r="T45" s="291">
        <v>175.4</v>
      </c>
      <c r="U45" s="292">
        <v>175.4</v>
      </c>
      <c r="V45" s="290">
        <v>0</v>
      </c>
      <c r="W45" s="291"/>
      <c r="X45" s="291"/>
      <c r="Y45" s="292"/>
    </row>
    <row r="46" spans="1:25" s="10" customFormat="1" ht="27.75">
      <c r="A46" s="271" t="s">
        <v>208</v>
      </c>
      <c r="B46" s="291">
        <v>-26.132999999999999</v>
      </c>
      <c r="C46" s="291">
        <f>(-103258-821)*0.001</f>
        <v>-104.07900000000001</v>
      </c>
      <c r="D46" s="291">
        <f>(-125824-2250)*0.001</f>
        <v>-128.07400000000001</v>
      </c>
      <c r="E46" s="415">
        <f>(-195934-3683)*0.001</f>
        <v>-199.61699999999999</v>
      </c>
      <c r="F46" s="290">
        <f>(-15811-1035)*0.001</f>
        <v>-16.846</v>
      </c>
      <c r="G46" s="291">
        <f>(-84439-1241)*0.001</f>
        <v>-85.68</v>
      </c>
      <c r="H46" s="291">
        <f>(-96215-1689)*0.001</f>
        <v>-97.903999999999996</v>
      </c>
      <c r="I46" s="415">
        <v>-165.017</v>
      </c>
      <c r="J46" s="300">
        <v>-9.0950000000000006</v>
      </c>
      <c r="K46" s="300">
        <v>-348.3</v>
      </c>
      <c r="L46" s="300">
        <v>-733.5</v>
      </c>
      <c r="M46" s="301">
        <v>-872.2</v>
      </c>
      <c r="N46" s="290">
        <v>-357.9</v>
      </c>
      <c r="O46" s="291">
        <v>-472.3</v>
      </c>
      <c r="P46" s="291">
        <v>-804.1</v>
      </c>
      <c r="Q46" s="292">
        <v>-978.9</v>
      </c>
      <c r="R46" s="290">
        <v>-383.2</v>
      </c>
      <c r="S46" s="291">
        <v>-507.9</v>
      </c>
      <c r="T46" s="291">
        <v>-631.70000000000005</v>
      </c>
      <c r="U46" s="292">
        <v>-729.6</v>
      </c>
      <c r="V46" s="290">
        <v>-112.5</v>
      </c>
      <c r="W46" s="291"/>
      <c r="X46" s="291"/>
      <c r="Y46" s="292"/>
    </row>
    <row r="47" spans="1:25" s="10" customFormat="1" ht="20.100000000000001" customHeight="1">
      <c r="A47" s="270" t="s">
        <v>209</v>
      </c>
      <c r="B47" s="291"/>
      <c r="C47" s="291"/>
      <c r="D47" s="291"/>
      <c r="E47" s="415"/>
      <c r="F47" s="290"/>
      <c r="G47" s="291"/>
      <c r="H47" s="291"/>
      <c r="I47" s="415"/>
      <c r="J47" s="300"/>
      <c r="K47" s="300"/>
      <c r="L47" s="300"/>
      <c r="M47" s="301"/>
      <c r="N47" s="290"/>
      <c r="O47" s="291"/>
      <c r="P47" s="291"/>
      <c r="Q47" s="292"/>
      <c r="R47" s="290"/>
      <c r="S47" s="291">
        <v>-323.60000000000002</v>
      </c>
      <c r="T47" s="291">
        <v>-323.60000000000002</v>
      </c>
      <c r="U47" s="292">
        <v>-323.60000000000002</v>
      </c>
      <c r="V47" s="290">
        <v>0</v>
      </c>
      <c r="W47" s="291"/>
      <c r="X47" s="291"/>
      <c r="Y47" s="292"/>
    </row>
    <row r="48" spans="1:25" s="10" customFormat="1" ht="20.100000000000001" customHeight="1">
      <c r="A48" s="270" t="s">
        <v>43</v>
      </c>
      <c r="B48" s="305">
        <v>0</v>
      </c>
      <c r="C48" s="305">
        <v>0</v>
      </c>
      <c r="D48" s="305">
        <v>0</v>
      </c>
      <c r="E48" s="306">
        <v>0</v>
      </c>
      <c r="F48" s="307">
        <v>0</v>
      </c>
      <c r="G48" s="305">
        <v>0</v>
      </c>
      <c r="H48" s="305">
        <v>0</v>
      </c>
      <c r="I48" s="306">
        <v>0</v>
      </c>
      <c r="J48" s="308">
        <v>0</v>
      </c>
      <c r="K48" s="300">
        <v>-102.9</v>
      </c>
      <c r="L48" s="300">
        <v>-102.9</v>
      </c>
      <c r="M48" s="301">
        <v>-102.9</v>
      </c>
      <c r="N48" s="290">
        <v>0</v>
      </c>
      <c r="O48" s="291">
        <v>0</v>
      </c>
      <c r="P48" s="291">
        <v>0</v>
      </c>
      <c r="Q48" s="292">
        <v>0</v>
      </c>
      <c r="R48" s="290">
        <v>0</v>
      </c>
      <c r="S48" s="291">
        <v>0</v>
      </c>
      <c r="T48" s="291">
        <v>0</v>
      </c>
      <c r="U48" s="292">
        <v>0</v>
      </c>
      <c r="V48" s="290">
        <v>0</v>
      </c>
      <c r="W48" s="291"/>
      <c r="X48" s="291"/>
      <c r="Y48" s="292"/>
    </row>
    <row r="49" spans="1:25" s="10" customFormat="1" ht="20.100000000000001" customHeight="1">
      <c r="A49" s="270" t="s">
        <v>229</v>
      </c>
      <c r="B49" s="291">
        <v>-8.4000000000000005E-2</v>
      </c>
      <c r="C49" s="291">
        <v>-0.23899999999999999</v>
      </c>
      <c r="D49" s="291">
        <v>-0.315</v>
      </c>
      <c r="E49" s="415">
        <v>-0.40600000000000003</v>
      </c>
      <c r="F49" s="290">
        <v>-7.8E-2</v>
      </c>
      <c r="G49" s="291">
        <v>-0.16800000000000001</v>
      </c>
      <c r="H49" s="291">
        <v>-0.25600000000000001</v>
      </c>
      <c r="I49" s="415">
        <v>-0.33</v>
      </c>
      <c r="J49" s="300">
        <v>-6.2E-2</v>
      </c>
      <c r="K49" s="300">
        <v>-0.3</v>
      </c>
      <c r="L49" s="300">
        <v>-0.7</v>
      </c>
      <c r="M49" s="301">
        <v>-0.9</v>
      </c>
      <c r="N49" s="290">
        <v>-2.5</v>
      </c>
      <c r="O49" s="291">
        <v>-3.5</v>
      </c>
      <c r="P49" s="291">
        <v>-4.5</v>
      </c>
      <c r="Q49" s="292">
        <v>-5.6</v>
      </c>
      <c r="R49" s="290">
        <v>-2.1</v>
      </c>
      <c r="S49" s="291">
        <v>-2.7</v>
      </c>
      <c r="T49" s="291">
        <v>-4.4000000000000004</v>
      </c>
      <c r="U49" s="292">
        <v>-6</v>
      </c>
      <c r="V49" s="290">
        <f>-0.3-1.4</f>
        <v>-1.7</v>
      </c>
      <c r="W49" s="291"/>
      <c r="X49" s="291"/>
      <c r="Y49" s="292"/>
    </row>
    <row r="50" spans="1:25" s="10" customFormat="1" ht="20.100000000000001" customHeight="1" thickBot="1">
      <c r="A50" s="270" t="s">
        <v>95</v>
      </c>
      <c r="B50" s="309">
        <v>0</v>
      </c>
      <c r="C50" s="309">
        <v>0</v>
      </c>
      <c r="D50" s="309">
        <v>0</v>
      </c>
      <c r="E50" s="306">
        <v>0</v>
      </c>
      <c r="F50" s="307">
        <v>0</v>
      </c>
      <c r="G50" s="305">
        <v>0</v>
      </c>
      <c r="H50" s="305">
        <v>0</v>
      </c>
      <c r="I50" s="306">
        <v>0</v>
      </c>
      <c r="J50" s="308">
        <v>0</v>
      </c>
      <c r="K50" s="300">
        <v>-3.8</v>
      </c>
      <c r="L50" s="300">
        <v>-3.9</v>
      </c>
      <c r="M50" s="301">
        <v>-3.9</v>
      </c>
      <c r="N50" s="290">
        <v>0</v>
      </c>
      <c r="O50" s="291">
        <v>0</v>
      </c>
      <c r="P50" s="291">
        <v>0</v>
      </c>
      <c r="Q50" s="292">
        <v>0</v>
      </c>
      <c r="R50" s="290">
        <v>0</v>
      </c>
      <c r="S50" s="291">
        <v>0</v>
      </c>
      <c r="T50" s="291">
        <v>0</v>
      </c>
      <c r="U50" s="292">
        <v>0</v>
      </c>
      <c r="V50" s="290">
        <v>0</v>
      </c>
      <c r="W50" s="291"/>
      <c r="X50" s="291"/>
      <c r="Y50" s="292"/>
    </row>
    <row r="51" spans="1:25" s="10" customFormat="1" ht="20.100000000000001" customHeight="1" thickBot="1">
      <c r="A51" s="13" t="s">
        <v>69</v>
      </c>
      <c r="B51" s="294">
        <f t="shared" ref="B51:U51" si="7">SUM(B41:B50)</f>
        <v>-52.972000000000001</v>
      </c>
      <c r="C51" s="294">
        <f t="shared" si="7"/>
        <v>-260.08099999999996</v>
      </c>
      <c r="D51" s="294">
        <f t="shared" si="7"/>
        <v>-525.96400000000006</v>
      </c>
      <c r="E51" s="283">
        <f t="shared" si="7"/>
        <v>-653.34699999999998</v>
      </c>
      <c r="F51" s="293">
        <f t="shared" si="7"/>
        <v>-66.737000000000009</v>
      </c>
      <c r="G51" s="294">
        <f t="shared" si="7"/>
        <v>-278.43799999999999</v>
      </c>
      <c r="H51" s="294">
        <f t="shared" si="7"/>
        <v>-464.322</v>
      </c>
      <c r="I51" s="283">
        <f t="shared" si="7"/>
        <v>-596.46400000000006</v>
      </c>
      <c r="J51" s="293">
        <f t="shared" si="7"/>
        <v>-46.550999999999995</v>
      </c>
      <c r="K51" s="294">
        <f t="shared" si="7"/>
        <v>-478.30000000000007</v>
      </c>
      <c r="L51" s="294">
        <f t="shared" si="7"/>
        <v>-1064.0000000000002</v>
      </c>
      <c r="M51" s="302">
        <f t="shared" si="7"/>
        <v>-1542.9000000000003</v>
      </c>
      <c r="N51" s="293">
        <f t="shared" si="7"/>
        <v>-467.4</v>
      </c>
      <c r="O51" s="294">
        <f t="shared" si="7"/>
        <v>-1310</v>
      </c>
      <c r="P51" s="294">
        <f t="shared" si="7"/>
        <v>-2210.8000000000006</v>
      </c>
      <c r="Q51" s="295">
        <f t="shared" si="7"/>
        <v>-2386.7000000000007</v>
      </c>
      <c r="R51" s="293">
        <f t="shared" si="7"/>
        <v>-371.90000000000055</v>
      </c>
      <c r="S51" s="294">
        <f t="shared" si="7"/>
        <v>-1403.6000000000001</v>
      </c>
      <c r="T51" s="294">
        <f t="shared" si="7"/>
        <v>-1737.1000000000004</v>
      </c>
      <c r="U51" s="295">
        <f t="shared" si="7"/>
        <v>-2070.8000000000002</v>
      </c>
      <c r="V51" s="293">
        <f t="shared" ref="V51" si="8">SUM(V41:V50)</f>
        <v>-348.2</v>
      </c>
      <c r="W51" s="294"/>
      <c r="X51" s="294"/>
      <c r="Y51" s="295"/>
    </row>
    <row r="52" spans="1:25" s="11" customFormat="1" ht="20.100000000000001" customHeight="1" thickBot="1">
      <c r="A52" s="13" t="s">
        <v>40</v>
      </c>
      <c r="B52" s="294">
        <f>B27+B40+B51</f>
        <v>147.59399999999997</v>
      </c>
      <c r="C52" s="294">
        <f t="shared" ref="C52:U52" si="9">C51+C40+C27</f>
        <v>33.256000000000029</v>
      </c>
      <c r="D52" s="294">
        <f t="shared" si="9"/>
        <v>-51.083999999999946</v>
      </c>
      <c r="E52" s="283">
        <f t="shared" si="9"/>
        <v>-5.4109999999999445</v>
      </c>
      <c r="F52" s="293">
        <f t="shared" si="9"/>
        <v>53.822999999999979</v>
      </c>
      <c r="G52" s="294">
        <f t="shared" si="9"/>
        <v>-5.0790000000000077</v>
      </c>
      <c r="H52" s="294">
        <f t="shared" si="9"/>
        <v>-55.118000000000166</v>
      </c>
      <c r="I52" s="283">
        <f t="shared" si="9"/>
        <v>72.357999999999834</v>
      </c>
      <c r="J52" s="294">
        <f t="shared" si="9"/>
        <v>85.956000000000017</v>
      </c>
      <c r="K52" s="294">
        <f t="shared" si="9"/>
        <v>1565.3999999999999</v>
      </c>
      <c r="L52" s="294">
        <f t="shared" si="9"/>
        <v>1300.0999999999999</v>
      </c>
      <c r="M52" s="302">
        <f t="shared" si="9"/>
        <v>1403.7999999999997</v>
      </c>
      <c r="N52" s="293">
        <f t="shared" si="9"/>
        <v>-257.89999999999981</v>
      </c>
      <c r="O52" s="294">
        <f t="shared" si="9"/>
        <v>-353.30000000000041</v>
      </c>
      <c r="P52" s="294">
        <f t="shared" si="9"/>
        <v>-677.30000000000109</v>
      </c>
      <c r="Q52" s="295">
        <f t="shared" si="9"/>
        <v>-225.60000000000127</v>
      </c>
      <c r="R52" s="293">
        <f t="shared" si="9"/>
        <v>49.999999999999602</v>
      </c>
      <c r="S52" s="294">
        <f t="shared" si="9"/>
        <v>-568.70000000000005</v>
      </c>
      <c r="T52" s="294">
        <f t="shared" si="9"/>
        <v>-411.39999999999918</v>
      </c>
      <c r="U52" s="295">
        <f t="shared" si="9"/>
        <v>-189.5</v>
      </c>
      <c r="V52" s="293">
        <f t="shared" ref="V52" si="10">V51+V40+V27</f>
        <v>244.3000000000003</v>
      </c>
      <c r="W52" s="294"/>
      <c r="X52" s="294"/>
      <c r="Y52" s="295"/>
    </row>
    <row r="53" spans="1:25" s="11" customFormat="1" ht="20.100000000000001" customHeight="1">
      <c r="A53" s="272" t="s">
        <v>41</v>
      </c>
      <c r="B53" s="297">
        <v>277.53399999999999</v>
      </c>
      <c r="C53" s="297">
        <v>277.53399999999999</v>
      </c>
      <c r="D53" s="297">
        <v>277.53399999999999</v>
      </c>
      <c r="E53" s="416">
        <v>277.53399999999999</v>
      </c>
      <c r="F53" s="296">
        <v>270.35399999999998</v>
      </c>
      <c r="G53" s="297">
        <v>270.35399999999998</v>
      </c>
      <c r="H53" s="297">
        <v>270.35399999999998</v>
      </c>
      <c r="I53" s="416">
        <v>270.35399999999998</v>
      </c>
      <c r="J53" s="297">
        <v>342.25100000000003</v>
      </c>
      <c r="K53" s="297">
        <v>342.2</v>
      </c>
      <c r="L53" s="297">
        <v>342.2</v>
      </c>
      <c r="M53" s="303">
        <v>342.2</v>
      </c>
      <c r="N53" s="296">
        <v>1747.9</v>
      </c>
      <c r="O53" s="297">
        <v>1747.9</v>
      </c>
      <c r="P53" s="297">
        <v>1747.9</v>
      </c>
      <c r="Q53" s="298">
        <v>1747.9</v>
      </c>
      <c r="R53" s="296">
        <f>$Q$55</f>
        <v>1523.6999999999989</v>
      </c>
      <c r="S53" s="297">
        <f t="shared" ref="S53:U53" si="11">$Q$55</f>
        <v>1523.6999999999989</v>
      </c>
      <c r="T53" s="297">
        <f t="shared" si="11"/>
        <v>1523.6999999999989</v>
      </c>
      <c r="U53" s="298">
        <f t="shared" si="11"/>
        <v>1523.6999999999989</v>
      </c>
      <c r="V53" s="296">
        <f>U55</f>
        <v>1336.6999999999989</v>
      </c>
      <c r="W53" s="297"/>
      <c r="X53" s="297"/>
      <c r="Y53" s="298"/>
    </row>
    <row r="54" spans="1:25" s="10" customFormat="1" ht="20.100000000000001" customHeight="1" thickBot="1">
      <c r="A54" s="270" t="s">
        <v>42</v>
      </c>
      <c r="B54" s="291">
        <v>-2.5009999999999999</v>
      </c>
      <c r="C54" s="291">
        <v>-1.2710000000000001</v>
      </c>
      <c r="D54" s="291">
        <v>-1.339</v>
      </c>
      <c r="E54" s="415">
        <v>-1.7690000000000001</v>
      </c>
      <c r="F54" s="290">
        <v>0.161</v>
      </c>
      <c r="G54" s="291">
        <v>0.52800000000000002</v>
      </c>
      <c r="H54" s="291">
        <v>0.16</v>
      </c>
      <c r="I54" s="415">
        <v>-0.46100000000000002</v>
      </c>
      <c r="J54" s="300">
        <v>-1.7000000000000001E-2</v>
      </c>
      <c r="K54" s="300">
        <v>-0.7</v>
      </c>
      <c r="L54" s="300">
        <v>0.9</v>
      </c>
      <c r="M54" s="304">
        <v>1.9</v>
      </c>
      <c r="N54" s="290">
        <v>1.6</v>
      </c>
      <c r="O54" s="291">
        <v>2</v>
      </c>
      <c r="P54" s="291">
        <v>1.4</v>
      </c>
      <c r="Q54" s="292">
        <v>1.4</v>
      </c>
      <c r="R54" s="290">
        <v>-3.7</v>
      </c>
      <c r="S54" s="291">
        <v>0.4</v>
      </c>
      <c r="T54" s="291">
        <v>-2.1</v>
      </c>
      <c r="U54" s="292">
        <v>2.5</v>
      </c>
      <c r="V54" s="290">
        <v>-3.7</v>
      </c>
      <c r="W54" s="291"/>
      <c r="X54" s="291"/>
      <c r="Y54" s="292"/>
    </row>
    <row r="55" spans="1:25" s="10" customFormat="1" ht="13.5" thickBot="1">
      <c r="A55" s="13" t="s">
        <v>101</v>
      </c>
      <c r="B55" s="294">
        <f>B52+B53+B54</f>
        <v>422.62699999999995</v>
      </c>
      <c r="C55" s="294">
        <f t="shared" ref="C55:Q55" si="12">C53+C52+C54</f>
        <v>309.51900000000001</v>
      </c>
      <c r="D55" s="294">
        <f t="shared" si="12"/>
        <v>225.11100000000005</v>
      </c>
      <c r="E55" s="283">
        <f t="shared" si="12"/>
        <v>270.35400000000004</v>
      </c>
      <c r="F55" s="293">
        <f t="shared" si="12"/>
        <v>324.33799999999997</v>
      </c>
      <c r="G55" s="294">
        <f t="shared" si="12"/>
        <v>265.803</v>
      </c>
      <c r="H55" s="294">
        <f t="shared" si="12"/>
        <v>215.39599999999982</v>
      </c>
      <c r="I55" s="283">
        <f t="shared" si="12"/>
        <v>342.25099999999981</v>
      </c>
      <c r="J55" s="294">
        <f t="shared" si="12"/>
        <v>428.19000000000005</v>
      </c>
      <c r="K55" s="294">
        <f t="shared" si="12"/>
        <v>1906.8999999999999</v>
      </c>
      <c r="L55" s="294">
        <f t="shared" si="12"/>
        <v>1643.2</v>
      </c>
      <c r="M55" s="302">
        <f t="shared" si="12"/>
        <v>1747.8999999999999</v>
      </c>
      <c r="N55" s="293">
        <f t="shared" si="12"/>
        <v>1491.6000000000001</v>
      </c>
      <c r="O55" s="294">
        <f t="shared" si="12"/>
        <v>1396.5999999999997</v>
      </c>
      <c r="P55" s="294">
        <f t="shared" si="12"/>
        <v>1071.9999999999991</v>
      </c>
      <c r="Q55" s="283">
        <f t="shared" si="12"/>
        <v>1523.6999999999989</v>
      </c>
      <c r="R55" s="293">
        <f t="shared" ref="R55:V55" si="13">R53+R52+R54</f>
        <v>1569.9999999999984</v>
      </c>
      <c r="S55" s="294">
        <f t="shared" si="13"/>
        <v>955.39999999999884</v>
      </c>
      <c r="T55" s="294">
        <f t="shared" si="13"/>
        <v>1110.1999999999998</v>
      </c>
      <c r="U55" s="283">
        <f t="shared" si="13"/>
        <v>1336.6999999999989</v>
      </c>
      <c r="V55" s="293">
        <f t="shared" si="13"/>
        <v>1577.299999999999</v>
      </c>
      <c r="W55" s="294"/>
      <c r="X55" s="294"/>
      <c r="Y55" s="283"/>
    </row>
    <row r="56" spans="1:25" s="10" customFormat="1">
      <c r="M56" s="81"/>
    </row>
    <row r="57" spans="1:25" s="10" customFormat="1">
      <c r="A57" s="10" t="s">
        <v>247</v>
      </c>
      <c r="M57" s="81"/>
    </row>
    <row r="58" spans="1:25" s="10" customFormat="1">
      <c r="A58" s="10" t="s">
        <v>205</v>
      </c>
      <c r="M58" s="81"/>
    </row>
    <row r="59" spans="1:25" s="10" customFormat="1">
      <c r="A59" s="10" t="s">
        <v>230</v>
      </c>
      <c r="M59" s="81"/>
    </row>
    <row r="60" spans="1:25" s="10" customFormat="1">
      <c r="M60" s="81"/>
    </row>
    <row r="61" spans="1:25" s="10" customFormat="1">
      <c r="M61" s="81"/>
    </row>
    <row r="62" spans="1:25" s="10" customFormat="1">
      <c r="M62" s="81"/>
    </row>
    <row r="63" spans="1:25" s="10" customFormat="1">
      <c r="M63" s="81"/>
    </row>
    <row r="64" spans="1:25" s="10" customFormat="1">
      <c r="M64" s="81"/>
    </row>
    <row r="65" spans="13:13" s="10" customFormat="1">
      <c r="M65" s="81"/>
    </row>
    <row r="66" spans="13:13" s="10" customFormat="1">
      <c r="M66" s="81"/>
    </row>
    <row r="67" spans="13:13" s="10" customFormat="1">
      <c r="M67" s="81"/>
    </row>
    <row r="68" spans="13:13" s="10" customFormat="1">
      <c r="M68" s="81"/>
    </row>
    <row r="69" spans="13:13" s="10" customFormat="1">
      <c r="M69" s="81"/>
    </row>
    <row r="70" spans="13:13" s="10" customFormat="1">
      <c r="M70" s="81"/>
    </row>
    <row r="71" spans="13:13" s="10" customFormat="1">
      <c r="M71" s="81"/>
    </row>
    <row r="72" spans="13:13" s="10" customFormat="1">
      <c r="M72" s="81"/>
    </row>
    <row r="73" spans="13:13" s="10" customFormat="1">
      <c r="M73" s="81"/>
    </row>
    <row r="74" spans="13:13" s="10" customFormat="1">
      <c r="M74" s="81"/>
    </row>
    <row r="75" spans="13:13" s="10" customFormat="1">
      <c r="M75" s="81"/>
    </row>
    <row r="76" spans="13:13" s="10" customFormat="1">
      <c r="M76" s="81"/>
    </row>
    <row r="77" spans="13:13" s="10" customFormat="1">
      <c r="M77" s="81"/>
    </row>
    <row r="78" spans="13:13" s="10" customFormat="1">
      <c r="M78" s="81"/>
    </row>
    <row r="79" spans="13:13" s="10" customFormat="1">
      <c r="M79" s="81"/>
    </row>
    <row r="80" spans="13:13" s="10" customFormat="1">
      <c r="M80" s="81"/>
    </row>
    <row r="81" spans="13:13" s="10" customFormat="1">
      <c r="M81" s="81"/>
    </row>
    <row r="82" spans="13:13" s="10" customFormat="1">
      <c r="M82" s="81"/>
    </row>
    <row r="83" spans="13:13" s="10" customFormat="1">
      <c r="M83" s="81"/>
    </row>
    <row r="84" spans="13:13" s="10" customFormat="1">
      <c r="M84" s="81"/>
    </row>
    <row r="85" spans="13:13" s="10" customFormat="1">
      <c r="M85" s="81"/>
    </row>
    <row r="86" spans="13:13" s="10" customFormat="1">
      <c r="M86" s="81"/>
    </row>
    <row r="87" spans="13:13" s="10" customFormat="1">
      <c r="M87" s="81"/>
    </row>
    <row r="88" spans="13:13" s="10" customFormat="1">
      <c r="M88" s="81"/>
    </row>
    <row r="89" spans="13:13" s="10" customFormat="1">
      <c r="M89" s="81"/>
    </row>
    <row r="90" spans="13:13" s="10" customFormat="1">
      <c r="M90" s="81"/>
    </row>
    <row r="91" spans="13:13" s="10" customFormat="1">
      <c r="M91" s="81"/>
    </row>
    <row r="92" spans="13:13" s="10" customFormat="1">
      <c r="M92" s="81"/>
    </row>
    <row r="93" spans="13:13" s="10" customFormat="1">
      <c r="M93" s="81"/>
    </row>
    <row r="94" spans="13:13" s="10" customFormat="1">
      <c r="M94" s="81"/>
    </row>
    <row r="95" spans="13:13" s="10" customFormat="1"/>
    <row r="96" spans="13:13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pans="1:25" s="10" customFormat="1"/>
    <row r="130" spans="1:25" s="10" customFormat="1"/>
    <row r="131" spans="1:25" s="10" customFormat="1"/>
    <row r="132" spans="1:25" s="10" customFormat="1"/>
    <row r="133" spans="1:25" s="10" customFormat="1"/>
    <row r="134" spans="1: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</sheetData>
  <mergeCells count="6">
    <mergeCell ref="V2:Y2"/>
    <mergeCell ref="B2:E2"/>
    <mergeCell ref="F2:I2"/>
    <mergeCell ref="J2:M2"/>
    <mergeCell ref="N2:Q2"/>
    <mergeCell ref="R2:U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ySplit="4" topLeftCell="S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4" width="9" style="2"/>
    <col min="25" max="26" width="10.625" style="2" customWidth="1"/>
    <col min="27" max="29" width="9" style="2"/>
    <col min="30" max="31" width="10.625" style="2" customWidth="1"/>
    <col min="32" max="36" width="9" style="239"/>
    <col min="37" max="16384" width="9" style="2"/>
  </cols>
  <sheetData>
    <row r="1" spans="1:31" s="23" customFormat="1" ht="33" customHeight="1">
      <c r="A1" s="5" t="s">
        <v>179</v>
      </c>
      <c r="B1" s="5"/>
    </row>
    <row r="2" spans="1:31" s="239" customFormat="1" ht="128.25" customHeight="1" thickBot="1">
      <c r="A2" s="544" t="s">
        <v>245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R2" s="240"/>
      <c r="S2" s="240"/>
    </row>
    <row r="3" spans="1:31" ht="20.100000000000001" customHeight="1" thickBot="1">
      <c r="A3" s="545" t="s">
        <v>133</v>
      </c>
      <c r="B3" s="547">
        <v>2012</v>
      </c>
      <c r="C3" s="548"/>
      <c r="D3" s="548"/>
      <c r="E3" s="548"/>
      <c r="F3" s="549">
        <v>2012</v>
      </c>
      <c r="G3" s="547">
        <v>2013</v>
      </c>
      <c r="H3" s="548"/>
      <c r="I3" s="548"/>
      <c r="J3" s="548"/>
      <c r="K3" s="549">
        <v>2013</v>
      </c>
      <c r="L3" s="547">
        <v>2014</v>
      </c>
      <c r="M3" s="548"/>
      <c r="N3" s="548"/>
      <c r="O3" s="548"/>
      <c r="P3" s="549">
        <v>2014</v>
      </c>
      <c r="Q3" s="547">
        <v>2015</v>
      </c>
      <c r="R3" s="548"/>
      <c r="S3" s="548"/>
      <c r="T3" s="548"/>
      <c r="U3" s="549">
        <v>2015</v>
      </c>
      <c r="V3" s="547">
        <v>2016</v>
      </c>
      <c r="W3" s="548"/>
      <c r="X3" s="548"/>
      <c r="Y3" s="548"/>
      <c r="Z3" s="549">
        <v>2016</v>
      </c>
      <c r="AA3" s="547">
        <v>2017</v>
      </c>
      <c r="AB3" s="548"/>
      <c r="AC3" s="548"/>
      <c r="AD3" s="548"/>
      <c r="AE3" s="549">
        <v>2017</v>
      </c>
    </row>
    <row r="4" spans="1:31" ht="20.100000000000001" customHeight="1" thickBot="1">
      <c r="A4" s="546"/>
      <c r="B4" s="139" t="s">
        <v>134</v>
      </c>
      <c r="C4" s="140" t="s">
        <v>135</v>
      </c>
      <c r="D4" s="140" t="s">
        <v>136</v>
      </c>
      <c r="E4" s="140" t="s">
        <v>137</v>
      </c>
      <c r="F4" s="550"/>
      <c r="G4" s="139" t="s">
        <v>134</v>
      </c>
      <c r="H4" s="140" t="s">
        <v>135</v>
      </c>
      <c r="I4" s="140" t="s">
        <v>136</v>
      </c>
      <c r="J4" s="140" t="s">
        <v>137</v>
      </c>
      <c r="K4" s="550"/>
      <c r="L4" s="141" t="s">
        <v>134</v>
      </c>
      <c r="M4" s="140" t="s">
        <v>135</v>
      </c>
      <c r="N4" s="140" t="s">
        <v>136</v>
      </c>
      <c r="O4" s="142" t="s">
        <v>137</v>
      </c>
      <c r="P4" s="550"/>
      <c r="Q4" s="141" t="s">
        <v>134</v>
      </c>
      <c r="R4" s="140" t="s">
        <v>135</v>
      </c>
      <c r="S4" s="140" t="s">
        <v>136</v>
      </c>
      <c r="T4" s="142" t="s">
        <v>137</v>
      </c>
      <c r="U4" s="550"/>
      <c r="V4" s="141" t="s">
        <v>134</v>
      </c>
      <c r="W4" s="420" t="s">
        <v>135</v>
      </c>
      <c r="X4" s="420" t="s">
        <v>136</v>
      </c>
      <c r="Y4" s="142" t="s">
        <v>137</v>
      </c>
      <c r="Z4" s="550"/>
      <c r="AA4" s="141" t="s">
        <v>134</v>
      </c>
      <c r="AB4" s="420" t="s">
        <v>135</v>
      </c>
      <c r="AC4" s="420" t="s">
        <v>136</v>
      </c>
      <c r="AD4" s="142" t="s">
        <v>137</v>
      </c>
      <c r="AE4" s="550"/>
    </row>
    <row r="5" spans="1:31" ht="20.100000000000001" customHeight="1" thickBot="1">
      <c r="A5" s="143" t="s">
        <v>138</v>
      </c>
      <c r="B5" s="144" t="s">
        <v>139</v>
      </c>
      <c r="C5" s="145" t="s">
        <v>139</v>
      </c>
      <c r="D5" s="145" t="s">
        <v>139</v>
      </c>
      <c r="E5" s="145" t="s">
        <v>139</v>
      </c>
      <c r="F5" s="146" t="s">
        <v>139</v>
      </c>
      <c r="G5" s="147">
        <f t="shared" ref="G5:N5" si="0">G7+G23</f>
        <v>16348336</v>
      </c>
      <c r="H5" s="148">
        <f t="shared" si="0"/>
        <v>16434266</v>
      </c>
      <c r="I5" s="148">
        <f t="shared" si="0"/>
        <v>16627551</v>
      </c>
      <c r="J5" s="148">
        <f t="shared" si="0"/>
        <v>16447334</v>
      </c>
      <c r="K5" s="146">
        <f t="shared" si="0"/>
        <v>16447334</v>
      </c>
      <c r="L5" s="147">
        <f t="shared" si="0"/>
        <v>16333003</v>
      </c>
      <c r="M5" s="148">
        <f t="shared" si="0"/>
        <v>16250497</v>
      </c>
      <c r="N5" s="148">
        <f t="shared" si="0"/>
        <v>16449992</v>
      </c>
      <c r="O5" s="148">
        <f>O7+O23</f>
        <v>16482031</v>
      </c>
      <c r="P5" s="146">
        <f>P7+P23</f>
        <v>16482031</v>
      </c>
      <c r="Q5" s="147">
        <f t="shared" ref="Q5:U5" si="1">Q7+Q23</f>
        <v>16429469</v>
      </c>
      <c r="R5" s="148">
        <f t="shared" si="1"/>
        <v>16349090</v>
      </c>
      <c r="S5" s="148">
        <f t="shared" si="1"/>
        <v>16395514</v>
      </c>
      <c r="T5" s="148">
        <f t="shared" si="1"/>
        <v>16469696</v>
      </c>
      <c r="U5" s="437">
        <f t="shared" si="1"/>
        <v>16469696</v>
      </c>
      <c r="V5" s="147">
        <f t="shared" ref="V5" si="2">V7+V23</f>
        <v>16531833</v>
      </c>
      <c r="W5" s="148">
        <f>W7+W23</f>
        <v>16711541</v>
      </c>
      <c r="X5" s="148">
        <f>X7+X23</f>
        <v>16545653</v>
      </c>
      <c r="Y5" s="148">
        <f t="shared" ref="Y5:AA5" si="3">Y7+Y23</f>
        <v>16524936</v>
      </c>
      <c r="Z5" s="437">
        <f t="shared" si="3"/>
        <v>16524936</v>
      </c>
      <c r="AA5" s="147">
        <f t="shared" si="3"/>
        <v>16216128</v>
      </c>
      <c r="AB5" s="148"/>
      <c r="AC5" s="148"/>
      <c r="AD5" s="148"/>
      <c r="AE5" s="437"/>
    </row>
    <row r="6" spans="1:31" ht="20.100000000000001" customHeight="1">
      <c r="A6" s="149" t="s">
        <v>140</v>
      </c>
      <c r="B6" s="150"/>
      <c r="C6" s="151"/>
      <c r="D6" s="151"/>
      <c r="E6" s="151"/>
      <c r="F6" s="152"/>
      <c r="G6" s="153"/>
      <c r="H6" s="151"/>
      <c r="I6" s="151"/>
      <c r="J6" s="151"/>
      <c r="K6" s="152"/>
      <c r="L6" s="154"/>
      <c r="M6" s="151"/>
      <c r="N6" s="151"/>
      <c r="O6" s="151"/>
      <c r="P6" s="155"/>
      <c r="Q6" s="154"/>
      <c r="R6" s="151"/>
      <c r="S6" s="151"/>
      <c r="T6" s="151"/>
      <c r="U6" s="155"/>
      <c r="V6" s="154"/>
      <c r="W6" s="417"/>
      <c r="X6" s="417"/>
      <c r="Y6" s="151"/>
      <c r="Z6" s="155"/>
      <c r="AA6" s="154"/>
      <c r="AB6" s="417"/>
      <c r="AC6" s="417"/>
      <c r="AD6" s="151"/>
      <c r="AE6" s="155"/>
    </row>
    <row r="7" spans="1:31" ht="20.100000000000001" customHeight="1">
      <c r="A7" s="156" t="s">
        <v>141</v>
      </c>
      <c r="B7" s="157">
        <f>B8+B10+B11</f>
        <v>11532547</v>
      </c>
      <c r="C7" s="158">
        <f t="shared" ref="C7:M7" si="4">C8+C10+C11</f>
        <v>11516833</v>
      </c>
      <c r="D7" s="158">
        <f t="shared" si="4"/>
        <v>11605099</v>
      </c>
      <c r="E7" s="158">
        <f t="shared" si="4"/>
        <v>11735100</v>
      </c>
      <c r="F7" s="159">
        <f>SUM(F8,F10:F11)</f>
        <v>11735100</v>
      </c>
      <c r="G7" s="157">
        <f t="shared" si="4"/>
        <v>11799951</v>
      </c>
      <c r="H7" s="158">
        <f t="shared" si="4"/>
        <v>11868947</v>
      </c>
      <c r="I7" s="158">
        <f t="shared" si="4"/>
        <v>11908422</v>
      </c>
      <c r="J7" s="158">
        <f t="shared" si="4"/>
        <v>11978807</v>
      </c>
      <c r="K7" s="159">
        <f>SUM(K8,K10:K11)</f>
        <v>11978807</v>
      </c>
      <c r="L7" s="157">
        <f t="shared" si="4"/>
        <v>11982678</v>
      </c>
      <c r="M7" s="158">
        <f t="shared" si="4"/>
        <v>12023369</v>
      </c>
      <c r="N7" s="158">
        <f>N8+N10+N11</f>
        <v>12230798</v>
      </c>
      <c r="O7" s="158">
        <f>O8+O10+O11</f>
        <v>12347828</v>
      </c>
      <c r="P7" s="160">
        <f>P8+P10+P11</f>
        <v>12347828</v>
      </c>
      <c r="Q7" s="157">
        <f t="shared" ref="Q7:U7" si="5">Q8+Q10+Q11</f>
        <v>12394712</v>
      </c>
      <c r="R7" s="158">
        <f t="shared" si="5"/>
        <v>12377021</v>
      </c>
      <c r="S7" s="158">
        <f t="shared" si="5"/>
        <v>12418707</v>
      </c>
      <c r="T7" s="158">
        <f t="shared" si="5"/>
        <v>12614703</v>
      </c>
      <c r="U7" s="160">
        <f t="shared" si="5"/>
        <v>12614703</v>
      </c>
      <c r="V7" s="157">
        <f t="shared" ref="V7:AA7" si="6">V8+V10+V11</f>
        <v>12744166</v>
      </c>
      <c r="W7" s="158">
        <f t="shared" si="6"/>
        <v>12880725</v>
      </c>
      <c r="X7" s="158">
        <f t="shared" si="6"/>
        <v>13017749</v>
      </c>
      <c r="Y7" s="158">
        <f t="shared" si="6"/>
        <v>13254598</v>
      </c>
      <c r="Z7" s="160">
        <f t="shared" si="6"/>
        <v>13254598</v>
      </c>
      <c r="AA7" s="157">
        <f t="shared" si="6"/>
        <v>13337038</v>
      </c>
      <c r="AB7" s="158"/>
      <c r="AC7" s="158"/>
      <c r="AD7" s="158"/>
      <c r="AE7" s="160"/>
    </row>
    <row r="8" spans="1:31" ht="20.100000000000001" customHeight="1">
      <c r="A8" s="161" t="s">
        <v>142</v>
      </c>
      <c r="B8" s="162">
        <v>3885022</v>
      </c>
      <c r="C8" s="163">
        <v>3868733</v>
      </c>
      <c r="D8" s="163">
        <v>3921673</v>
      </c>
      <c r="E8" s="163">
        <v>3994875</v>
      </c>
      <c r="F8" s="164">
        <f>E8</f>
        <v>3994875</v>
      </c>
      <c r="G8" s="162">
        <v>4047592</v>
      </c>
      <c r="H8" s="163">
        <v>4127560</v>
      </c>
      <c r="I8" s="163">
        <v>4160343</v>
      </c>
      <c r="J8" s="163">
        <v>4212323</v>
      </c>
      <c r="K8" s="164">
        <f>J8</f>
        <v>4212323</v>
      </c>
      <c r="L8" s="162">
        <v>4236986</v>
      </c>
      <c r="M8" s="163">
        <v>4255544</v>
      </c>
      <c r="N8" s="165">
        <v>4344773</v>
      </c>
      <c r="O8" s="163">
        <v>4391702</v>
      </c>
      <c r="P8" s="166">
        <v>4391702</v>
      </c>
      <c r="Q8" s="162">
        <v>4405464</v>
      </c>
      <c r="R8" s="163">
        <v>4374517</v>
      </c>
      <c r="S8" s="163">
        <v>4396361</v>
      </c>
      <c r="T8" s="163">
        <v>4503320</v>
      </c>
      <c r="U8" s="166">
        <f t="shared" ref="U8:U12" si="7">T8</f>
        <v>4503320</v>
      </c>
      <c r="V8" s="162">
        <v>4560267</v>
      </c>
      <c r="W8" s="163">
        <v>4632246</v>
      </c>
      <c r="X8" s="163">
        <v>4679114</v>
      </c>
      <c r="Y8" s="163">
        <v>4766429</v>
      </c>
      <c r="Z8" s="166">
        <f t="shared" ref="Z8:Z12" si="8">Y8</f>
        <v>4766429</v>
      </c>
      <c r="AA8" s="162">
        <v>4785947</v>
      </c>
      <c r="AB8" s="163"/>
      <c r="AC8" s="163"/>
      <c r="AD8" s="163"/>
      <c r="AE8" s="166"/>
    </row>
    <row r="9" spans="1:31" ht="20.100000000000001" customHeight="1">
      <c r="A9" s="167" t="s">
        <v>143</v>
      </c>
      <c r="B9" s="168">
        <v>394001</v>
      </c>
      <c r="C9" s="169">
        <v>416027</v>
      </c>
      <c r="D9" s="169">
        <v>470578</v>
      </c>
      <c r="E9" s="169">
        <v>510617</v>
      </c>
      <c r="F9" s="170">
        <f t="shared" ref="F9:F11" si="9">E9</f>
        <v>510617</v>
      </c>
      <c r="G9" s="168">
        <v>559997</v>
      </c>
      <c r="H9" s="169">
        <v>633475</v>
      </c>
      <c r="I9" s="169">
        <v>680316</v>
      </c>
      <c r="J9" s="169">
        <v>719935</v>
      </c>
      <c r="K9" s="170">
        <f>J9</f>
        <v>719935</v>
      </c>
      <c r="L9" s="168">
        <v>749319</v>
      </c>
      <c r="M9" s="169">
        <v>771481</v>
      </c>
      <c r="N9" s="171">
        <v>806064</v>
      </c>
      <c r="O9" s="169">
        <v>844809</v>
      </c>
      <c r="P9" s="172">
        <v>844809</v>
      </c>
      <c r="Q9" s="168">
        <v>872628</v>
      </c>
      <c r="R9" s="169">
        <v>886305</v>
      </c>
      <c r="S9" s="169">
        <v>901271</v>
      </c>
      <c r="T9" s="169">
        <v>936307</v>
      </c>
      <c r="U9" s="172">
        <f t="shared" si="7"/>
        <v>936307</v>
      </c>
      <c r="V9" s="168">
        <v>957952</v>
      </c>
      <c r="W9" s="169">
        <v>972771</v>
      </c>
      <c r="X9" s="169">
        <v>982068</v>
      </c>
      <c r="Y9" s="169">
        <v>1021720</v>
      </c>
      <c r="Z9" s="172">
        <f t="shared" si="8"/>
        <v>1021720</v>
      </c>
      <c r="AA9" s="168">
        <v>1031294</v>
      </c>
      <c r="AB9" s="169"/>
      <c r="AC9" s="169"/>
      <c r="AD9" s="169"/>
      <c r="AE9" s="172"/>
    </row>
    <row r="10" spans="1:31" ht="20.100000000000001" customHeight="1">
      <c r="A10" s="161" t="s">
        <v>144</v>
      </c>
      <c r="B10" s="162">
        <v>6985015</v>
      </c>
      <c r="C10" s="163">
        <v>6978192</v>
      </c>
      <c r="D10" s="163">
        <v>6976594</v>
      </c>
      <c r="E10" s="163">
        <v>6979590</v>
      </c>
      <c r="F10" s="164">
        <f t="shared" si="9"/>
        <v>6979590</v>
      </c>
      <c r="G10" s="162">
        <v>6941638</v>
      </c>
      <c r="H10" s="163">
        <v>6891314</v>
      </c>
      <c r="I10" s="163">
        <v>6834719</v>
      </c>
      <c r="J10" s="163">
        <v>6778675</v>
      </c>
      <c r="K10" s="164">
        <f t="shared" ref="K10:K11" si="10">J10</f>
        <v>6778675</v>
      </c>
      <c r="L10" s="162">
        <v>6713629</v>
      </c>
      <c r="M10" s="163">
        <v>6644687</v>
      </c>
      <c r="N10" s="165">
        <v>6617382</v>
      </c>
      <c r="O10" s="163">
        <v>6587915</v>
      </c>
      <c r="P10" s="166">
        <v>6587915</v>
      </c>
      <c r="Q10" s="162">
        <v>6552365</v>
      </c>
      <c r="R10" s="163">
        <v>6519311</v>
      </c>
      <c r="S10" s="163">
        <v>6505016</v>
      </c>
      <c r="T10" s="163">
        <v>6516643</v>
      </c>
      <c r="U10" s="166">
        <f t="shared" si="7"/>
        <v>6516643</v>
      </c>
      <c r="V10" s="162">
        <v>6536366</v>
      </c>
      <c r="W10" s="163">
        <v>6559223</v>
      </c>
      <c r="X10" s="163">
        <v>6616579</v>
      </c>
      <c r="Y10" s="163">
        <v>6730427</v>
      </c>
      <c r="Z10" s="166">
        <f t="shared" si="8"/>
        <v>6730427</v>
      </c>
      <c r="AA10" s="162">
        <v>6785002</v>
      </c>
      <c r="AB10" s="163"/>
      <c r="AC10" s="163"/>
      <c r="AD10" s="163"/>
      <c r="AE10" s="166"/>
    </row>
    <row r="11" spans="1:31" ht="20.100000000000001" customHeight="1">
      <c r="A11" s="161" t="s">
        <v>145</v>
      </c>
      <c r="B11" s="162">
        <v>662510</v>
      </c>
      <c r="C11" s="163">
        <v>669908</v>
      </c>
      <c r="D11" s="163">
        <v>706832</v>
      </c>
      <c r="E11" s="163">
        <v>760635</v>
      </c>
      <c r="F11" s="164">
        <f t="shared" si="9"/>
        <v>760635</v>
      </c>
      <c r="G11" s="162">
        <v>810721</v>
      </c>
      <c r="H11" s="163">
        <v>850073</v>
      </c>
      <c r="I11" s="163">
        <v>913360</v>
      </c>
      <c r="J11" s="163">
        <v>987809</v>
      </c>
      <c r="K11" s="164">
        <f t="shared" si="10"/>
        <v>987809</v>
      </c>
      <c r="L11" s="174">
        <v>1032063</v>
      </c>
      <c r="M11" s="175">
        <v>1123138</v>
      </c>
      <c r="N11" s="165">
        <v>1268643</v>
      </c>
      <c r="O11" s="2">
        <v>1368211</v>
      </c>
      <c r="P11" s="166">
        <v>1368211</v>
      </c>
      <c r="Q11" s="174">
        <v>1436883</v>
      </c>
      <c r="R11" s="175">
        <v>1483193</v>
      </c>
      <c r="S11" s="175">
        <v>1517330</v>
      </c>
      <c r="T11" s="163">
        <v>1594740</v>
      </c>
      <c r="U11" s="166">
        <f t="shared" si="7"/>
        <v>1594740</v>
      </c>
      <c r="V11" s="174">
        <v>1647533</v>
      </c>
      <c r="W11" s="175">
        <v>1689256</v>
      </c>
      <c r="X11" s="175">
        <v>1722056</v>
      </c>
      <c r="Y11" s="163">
        <v>1757742</v>
      </c>
      <c r="Z11" s="166">
        <f t="shared" si="8"/>
        <v>1757742</v>
      </c>
      <c r="AA11" s="174">
        <v>1766089</v>
      </c>
      <c r="AB11" s="175"/>
      <c r="AC11" s="175"/>
      <c r="AD11" s="163"/>
      <c r="AE11" s="166"/>
    </row>
    <row r="12" spans="1:31" ht="20.100000000000001" customHeight="1" thickBot="1">
      <c r="A12" s="176" t="s">
        <v>146</v>
      </c>
      <c r="B12" s="177">
        <v>6282300</v>
      </c>
      <c r="C12" s="178">
        <v>6264412</v>
      </c>
      <c r="D12" s="178">
        <v>6281184</v>
      </c>
      <c r="E12" s="178">
        <v>6313423</v>
      </c>
      <c r="F12" s="179">
        <f>E12</f>
        <v>6313423</v>
      </c>
      <c r="G12" s="177">
        <v>6318321</v>
      </c>
      <c r="H12" s="178">
        <v>6306877</v>
      </c>
      <c r="I12" s="178">
        <v>6285607</v>
      </c>
      <c r="J12" s="178">
        <v>6287658</v>
      </c>
      <c r="K12" s="179">
        <f>J12</f>
        <v>6287658</v>
      </c>
      <c r="L12" s="177">
        <v>6260662</v>
      </c>
      <c r="M12" s="178">
        <v>6221111</v>
      </c>
      <c r="N12" s="180">
        <v>6184775</v>
      </c>
      <c r="O12" s="178">
        <v>6137531</v>
      </c>
      <c r="P12" s="181">
        <v>6137531</v>
      </c>
      <c r="Q12" s="177">
        <v>6068839</v>
      </c>
      <c r="R12" s="178">
        <v>5990051</v>
      </c>
      <c r="S12" s="178">
        <v>5937768</v>
      </c>
      <c r="T12" s="178">
        <v>5916103</v>
      </c>
      <c r="U12" s="181">
        <f t="shared" si="7"/>
        <v>5916103</v>
      </c>
      <c r="V12" s="177">
        <v>5893225</v>
      </c>
      <c r="W12" s="178">
        <v>5862310</v>
      </c>
      <c r="X12" s="178">
        <v>5860884</v>
      </c>
      <c r="Y12" s="178">
        <v>5882804</v>
      </c>
      <c r="Z12" s="181">
        <f t="shared" si="8"/>
        <v>5882804</v>
      </c>
      <c r="AA12" s="177">
        <v>5847401</v>
      </c>
      <c r="AB12" s="178"/>
      <c r="AC12" s="178"/>
      <c r="AD12" s="178"/>
      <c r="AE12" s="181"/>
    </row>
    <row r="13" spans="1:31" ht="20.100000000000001" customHeight="1">
      <c r="A13" s="182" t="s">
        <v>147</v>
      </c>
      <c r="B13" s="183">
        <v>92.5</v>
      </c>
      <c r="C13" s="184">
        <v>94.4</v>
      </c>
      <c r="D13" s="184">
        <v>93.8</v>
      </c>
      <c r="E13" s="184">
        <v>93.8</v>
      </c>
      <c r="F13" s="185">
        <v>93.6</v>
      </c>
      <c r="G13" s="183">
        <v>89.1</v>
      </c>
      <c r="H13" s="184">
        <v>90.3</v>
      </c>
      <c r="I13" s="184">
        <v>87.6</v>
      </c>
      <c r="J13" s="184">
        <v>87.1</v>
      </c>
      <c r="K13" s="185">
        <v>88.5</v>
      </c>
      <c r="L13" s="183">
        <v>84.8</v>
      </c>
      <c r="M13" s="184">
        <v>85.3</v>
      </c>
      <c r="N13" s="186">
        <v>86.5</v>
      </c>
      <c r="O13" s="184">
        <v>87.2</v>
      </c>
      <c r="P13" s="187">
        <v>85.9</v>
      </c>
      <c r="Q13" s="183">
        <v>85.8</v>
      </c>
      <c r="R13" s="184">
        <v>87</v>
      </c>
      <c r="S13" s="184">
        <v>88.1</v>
      </c>
      <c r="T13" s="184">
        <v>88.3</v>
      </c>
      <c r="U13" s="187">
        <v>87.3</v>
      </c>
      <c r="V13" s="183">
        <v>87</v>
      </c>
      <c r="W13" s="184">
        <v>88.4</v>
      </c>
      <c r="X13" s="184">
        <v>88.6</v>
      </c>
      <c r="Y13" s="184">
        <v>90.7</v>
      </c>
      <c r="Z13" s="187">
        <v>88.7</v>
      </c>
      <c r="AA13" s="183">
        <v>89.1</v>
      </c>
      <c r="AB13" s="184"/>
      <c r="AC13" s="184"/>
      <c r="AD13" s="184"/>
      <c r="AE13" s="187"/>
    </row>
    <row r="14" spans="1:31" ht="20.100000000000001" customHeight="1">
      <c r="A14" s="188" t="s">
        <v>148</v>
      </c>
      <c r="B14" s="189" t="s">
        <v>139</v>
      </c>
      <c r="C14" s="190" t="s">
        <v>139</v>
      </c>
      <c r="D14" s="190" t="s">
        <v>139</v>
      </c>
      <c r="E14" s="191">
        <v>8.4252884188563901E-2</v>
      </c>
      <c r="F14" s="192">
        <f>E14</f>
        <v>8.4252884188563901E-2</v>
      </c>
      <c r="G14" s="193">
        <v>8.6500864834109098E-2</v>
      </c>
      <c r="H14" s="191">
        <v>8.7995678097648605E-2</v>
      </c>
      <c r="I14" s="191">
        <v>8.95665783401738E-2</v>
      </c>
      <c r="J14" s="191">
        <v>9.1612274770678806E-2</v>
      </c>
      <c r="K14" s="192">
        <f>J14</f>
        <v>9.1612274770678806E-2</v>
      </c>
      <c r="L14" s="193">
        <v>9.0641340484564806E-2</v>
      </c>
      <c r="M14" s="191">
        <v>8.7627794752018207E-2</v>
      </c>
      <c r="N14" s="194">
        <f>8.8%</f>
        <v>8.8000000000000009E-2</v>
      </c>
      <c r="O14" s="191">
        <v>9.0976359886998898E-2</v>
      </c>
      <c r="P14" s="195">
        <v>9.0999999999999998E-2</v>
      </c>
      <c r="Q14" s="193">
        <v>9.5000000000000001E-2</v>
      </c>
      <c r="R14" s="191">
        <v>0.10100000000000001</v>
      </c>
      <c r="S14" s="191">
        <v>0.10199999999999999</v>
      </c>
      <c r="T14" s="191">
        <v>0.1</v>
      </c>
      <c r="U14" s="195">
        <v>0.1</v>
      </c>
      <c r="V14" s="193">
        <v>9.8000000000000004E-2</v>
      </c>
      <c r="W14" s="191">
        <v>0.09</v>
      </c>
      <c r="X14" s="191">
        <v>8.5000000000000006E-2</v>
      </c>
      <c r="Y14" s="191">
        <v>8.3000000000000004E-2</v>
      </c>
      <c r="Z14" s="195">
        <v>8.3000000000000004E-2</v>
      </c>
      <c r="AA14" s="193">
        <v>8.5000000000000006E-2</v>
      </c>
      <c r="AB14" s="191"/>
      <c r="AC14" s="191"/>
      <c r="AD14" s="191"/>
      <c r="AE14" s="195"/>
    </row>
    <row r="15" spans="1:31" ht="20.100000000000001" customHeight="1" thickBot="1">
      <c r="A15" s="188" t="s">
        <v>149</v>
      </c>
      <c r="B15" s="196">
        <f t="shared" ref="B15:M15" si="11">B7/B12</f>
        <v>1.8357205163713926</v>
      </c>
      <c r="C15" s="197">
        <f t="shared" si="11"/>
        <v>1.838453952262399</v>
      </c>
      <c r="D15" s="197">
        <f t="shared" si="11"/>
        <v>1.8475973638091163</v>
      </c>
      <c r="E15" s="197">
        <f t="shared" si="11"/>
        <v>1.858753959619053</v>
      </c>
      <c r="F15" s="198">
        <f t="shared" si="11"/>
        <v>1.858753959619053</v>
      </c>
      <c r="G15" s="196">
        <f t="shared" si="11"/>
        <v>1.8675770034475931</v>
      </c>
      <c r="H15" s="197">
        <f t="shared" si="11"/>
        <v>1.8819055770391591</v>
      </c>
      <c r="I15" s="197">
        <f t="shared" si="11"/>
        <v>1.8945540184106324</v>
      </c>
      <c r="J15" s="197">
        <f t="shared" si="11"/>
        <v>1.9051301772456453</v>
      </c>
      <c r="K15" s="198">
        <f t="shared" si="11"/>
        <v>1.9051301772456453</v>
      </c>
      <c r="L15" s="196">
        <f t="shared" si="11"/>
        <v>1.9139634115369908</v>
      </c>
      <c r="M15" s="197">
        <f t="shared" si="11"/>
        <v>1.9326723152825918</v>
      </c>
      <c r="N15" s="199">
        <v>1.98</v>
      </c>
      <c r="O15" s="197">
        <v>2.0099999999999998</v>
      </c>
      <c r="P15" s="198">
        <v>2.0099999999999998</v>
      </c>
      <c r="Q15" s="196">
        <f t="shared" ref="Q15" si="12">Q7/Q12</f>
        <v>2.0423530760990696</v>
      </c>
      <c r="R15" s="197">
        <v>2.0699999999999998</v>
      </c>
      <c r="S15" s="197">
        <v>2.09</v>
      </c>
      <c r="T15" s="197">
        <v>2.13</v>
      </c>
      <c r="U15" s="198">
        <v>2.13</v>
      </c>
      <c r="V15" s="196">
        <v>2.16</v>
      </c>
      <c r="W15" s="197">
        <v>2.2000000000000002</v>
      </c>
      <c r="X15" s="197">
        <v>2.2200000000000002</v>
      </c>
      <c r="Y15" s="197">
        <v>2.25</v>
      </c>
      <c r="Z15" s="198">
        <f>Y15</f>
        <v>2.25</v>
      </c>
      <c r="AA15" s="196">
        <v>2.2799999999999998</v>
      </c>
      <c r="AB15" s="197"/>
      <c r="AC15" s="197"/>
      <c r="AD15" s="197"/>
      <c r="AE15" s="198"/>
    </row>
    <row r="16" spans="1:31" ht="20.100000000000001" customHeight="1">
      <c r="A16" s="200" t="s">
        <v>150</v>
      </c>
      <c r="B16" s="201">
        <f>B17+B19+B20</f>
        <v>11497022</v>
      </c>
      <c r="C16" s="202">
        <f t="shared" ref="C16:M16" si="13">C17+C19+C20</f>
        <v>11521707</v>
      </c>
      <c r="D16" s="202">
        <f t="shared" si="13"/>
        <v>11558288</v>
      </c>
      <c r="E16" s="202">
        <f t="shared" si="13"/>
        <v>11659474</v>
      </c>
      <c r="F16" s="159">
        <f t="shared" si="13"/>
        <v>11559122.75</v>
      </c>
      <c r="G16" s="201">
        <f t="shared" si="13"/>
        <v>11772318</v>
      </c>
      <c r="H16" s="202">
        <f t="shared" si="13"/>
        <v>11846507</v>
      </c>
      <c r="I16" s="202">
        <f t="shared" si="13"/>
        <v>11884574</v>
      </c>
      <c r="J16" s="202">
        <f t="shared" si="13"/>
        <v>11924710</v>
      </c>
      <c r="K16" s="159">
        <f t="shared" si="13"/>
        <v>11857027.25</v>
      </c>
      <c r="L16" s="201">
        <f t="shared" si="13"/>
        <v>11986199</v>
      </c>
      <c r="M16" s="202">
        <f t="shared" si="13"/>
        <v>11981389</v>
      </c>
      <c r="N16" s="202">
        <f>N17+N19+N20</f>
        <v>12125363</v>
      </c>
      <c r="O16" s="202">
        <f>O17+O19+O20</f>
        <v>12272311</v>
      </c>
      <c r="P16" s="160">
        <f>P17+P19+P20</f>
        <v>12091316</v>
      </c>
      <c r="Q16" s="201">
        <f t="shared" ref="Q16:U16" si="14">Q17+Q19+Q20</f>
        <v>12376603</v>
      </c>
      <c r="R16" s="202">
        <f t="shared" si="14"/>
        <v>12391326</v>
      </c>
      <c r="S16" s="202">
        <f t="shared" si="14"/>
        <v>12378586</v>
      </c>
      <c r="T16" s="202">
        <f t="shared" si="14"/>
        <v>12496080</v>
      </c>
      <c r="U16" s="160">
        <f t="shared" si="14"/>
        <v>12410649</v>
      </c>
      <c r="V16" s="201">
        <f t="shared" ref="V16:AA16" si="15">V17+V19+V20</f>
        <v>12675864</v>
      </c>
      <c r="W16" s="202">
        <f t="shared" si="15"/>
        <v>12809438</v>
      </c>
      <c r="X16" s="202">
        <f t="shared" si="15"/>
        <v>12940680</v>
      </c>
      <c r="Y16" s="202">
        <f t="shared" si="15"/>
        <v>13119033</v>
      </c>
      <c r="Z16" s="160">
        <f t="shared" si="15"/>
        <v>12886254</v>
      </c>
      <c r="AA16" s="201">
        <f t="shared" si="15"/>
        <v>13313971</v>
      </c>
      <c r="AB16" s="202"/>
      <c r="AC16" s="202"/>
      <c r="AD16" s="202"/>
      <c r="AE16" s="160"/>
    </row>
    <row r="17" spans="1:31" ht="20.100000000000001" customHeight="1">
      <c r="A17" s="161" t="s">
        <v>142</v>
      </c>
      <c r="B17" s="162">
        <v>3858338</v>
      </c>
      <c r="C17" s="163">
        <v>3879834</v>
      </c>
      <c r="D17" s="163">
        <v>3894623</v>
      </c>
      <c r="E17" s="163">
        <v>3955082</v>
      </c>
      <c r="F17" s="164">
        <f>AVERAGE(B17:E17)</f>
        <v>3896969.25</v>
      </c>
      <c r="G17" s="162">
        <v>4018307</v>
      </c>
      <c r="H17" s="163">
        <v>4098051</v>
      </c>
      <c r="I17" s="163">
        <v>4144131</v>
      </c>
      <c r="J17" s="163">
        <v>4175145</v>
      </c>
      <c r="K17" s="164">
        <f>AVERAGE(G17:J17)</f>
        <v>4108908.5</v>
      </c>
      <c r="L17" s="162">
        <v>4227450</v>
      </c>
      <c r="M17" s="163">
        <v>4243880</v>
      </c>
      <c r="N17" s="165">
        <v>4301558</v>
      </c>
      <c r="O17" s="163">
        <v>4361890</v>
      </c>
      <c r="P17" s="166">
        <v>4283695</v>
      </c>
      <c r="Q17" s="162">
        <v>4403541</v>
      </c>
      <c r="R17" s="163">
        <v>4397999</v>
      </c>
      <c r="S17" s="163">
        <v>4376405</v>
      </c>
      <c r="T17" s="163">
        <v>4441918</v>
      </c>
      <c r="U17" s="166">
        <v>4404966</v>
      </c>
      <c r="V17" s="162">
        <v>4532806</v>
      </c>
      <c r="W17" s="163">
        <v>4595313</v>
      </c>
      <c r="X17" s="163">
        <v>4654591</v>
      </c>
      <c r="Y17" s="163">
        <v>4712813</v>
      </c>
      <c r="Z17" s="166">
        <v>4623881</v>
      </c>
      <c r="AA17" s="162">
        <v>4781680</v>
      </c>
      <c r="AB17" s="163"/>
      <c r="AC17" s="163"/>
      <c r="AD17" s="163"/>
      <c r="AE17" s="166"/>
    </row>
    <row r="18" spans="1:31" ht="20.100000000000001" customHeight="1">
      <c r="A18" s="167" t="s">
        <v>143</v>
      </c>
      <c r="B18" s="168">
        <v>358652</v>
      </c>
      <c r="C18" s="169">
        <v>406943</v>
      </c>
      <c r="D18" s="173">
        <v>443743.5</v>
      </c>
      <c r="E18" s="169">
        <v>494506</v>
      </c>
      <c r="F18" s="170">
        <f>AVERAGE(B18:E18)</f>
        <v>425961.125</v>
      </c>
      <c r="G18" s="168">
        <v>535271</v>
      </c>
      <c r="H18" s="169">
        <v>600411</v>
      </c>
      <c r="I18" s="169">
        <v>658475</v>
      </c>
      <c r="J18" s="169">
        <v>697978</v>
      </c>
      <c r="K18" s="170">
        <f t="shared" ref="K18:K20" si="16">AVERAGE(G18:J18)</f>
        <v>623033.75</v>
      </c>
      <c r="L18" s="203">
        <v>736315</v>
      </c>
      <c r="M18" s="169">
        <v>759922</v>
      </c>
      <c r="N18" s="171">
        <v>787736</v>
      </c>
      <c r="O18" s="169">
        <v>822568</v>
      </c>
      <c r="P18" s="172">
        <v>776635</v>
      </c>
      <c r="Q18" s="203">
        <v>860827</v>
      </c>
      <c r="R18" s="169">
        <v>881296</v>
      </c>
      <c r="S18" s="169">
        <v>893001</v>
      </c>
      <c r="T18" s="169">
        <v>915940</v>
      </c>
      <c r="U18" s="172">
        <v>887766</v>
      </c>
      <c r="V18" s="203">
        <v>948366</v>
      </c>
      <c r="W18" s="418">
        <v>964197</v>
      </c>
      <c r="X18" s="418">
        <v>977142</v>
      </c>
      <c r="Y18" s="169">
        <v>995820</v>
      </c>
      <c r="Z18" s="172">
        <v>971381</v>
      </c>
      <c r="AA18" s="203">
        <v>1029294</v>
      </c>
      <c r="AB18" s="418"/>
      <c r="AC18" s="418"/>
      <c r="AD18" s="169"/>
      <c r="AE18" s="172"/>
    </row>
    <row r="19" spans="1:31" ht="20.100000000000001" customHeight="1">
      <c r="A19" s="161" t="s">
        <v>144</v>
      </c>
      <c r="B19" s="162">
        <v>6986951</v>
      </c>
      <c r="C19" s="163">
        <v>6977393</v>
      </c>
      <c r="D19" s="163">
        <v>6978772</v>
      </c>
      <c r="E19" s="163">
        <v>6974525</v>
      </c>
      <c r="F19" s="164">
        <f t="shared" ref="F19:F20" si="17">AVERAGE(B19:E19)</f>
        <v>6979410.25</v>
      </c>
      <c r="G19" s="162">
        <v>6965606</v>
      </c>
      <c r="H19" s="163">
        <v>6917102</v>
      </c>
      <c r="I19" s="163">
        <v>6862047</v>
      </c>
      <c r="J19" s="163">
        <v>6801845</v>
      </c>
      <c r="K19" s="164">
        <f t="shared" si="16"/>
        <v>6886650</v>
      </c>
      <c r="L19" s="204">
        <v>6749396</v>
      </c>
      <c r="M19" s="163">
        <v>6670820</v>
      </c>
      <c r="N19" s="165">
        <v>6628199</v>
      </c>
      <c r="O19" s="163">
        <v>6597742</v>
      </c>
      <c r="P19" s="166">
        <v>6661539</v>
      </c>
      <c r="Q19" s="204">
        <v>6570344</v>
      </c>
      <c r="R19" s="163">
        <v>6532488</v>
      </c>
      <c r="S19" s="163">
        <v>6508391</v>
      </c>
      <c r="T19" s="163">
        <v>6502872</v>
      </c>
      <c r="U19" s="166">
        <v>6528524</v>
      </c>
      <c r="V19" s="204">
        <v>6523316</v>
      </c>
      <c r="W19" s="419">
        <v>6546774</v>
      </c>
      <c r="X19" s="419">
        <v>6579908</v>
      </c>
      <c r="Y19" s="163">
        <v>6667869</v>
      </c>
      <c r="Z19" s="166">
        <v>6579467</v>
      </c>
      <c r="AA19" s="204">
        <v>6769379</v>
      </c>
      <c r="AB19" s="419"/>
      <c r="AC19" s="419"/>
      <c r="AD19" s="163"/>
      <c r="AE19" s="166"/>
    </row>
    <row r="20" spans="1:31" ht="20.100000000000001" customHeight="1">
      <c r="A20" s="161" t="s">
        <v>145</v>
      </c>
      <c r="B20" s="162">
        <v>651733</v>
      </c>
      <c r="C20" s="163">
        <v>664480</v>
      </c>
      <c r="D20" s="163">
        <v>684893</v>
      </c>
      <c r="E20" s="163">
        <v>729867</v>
      </c>
      <c r="F20" s="164">
        <f t="shared" si="17"/>
        <v>682743.25</v>
      </c>
      <c r="G20" s="162">
        <v>788405</v>
      </c>
      <c r="H20" s="163">
        <v>831354</v>
      </c>
      <c r="I20" s="163">
        <v>878396</v>
      </c>
      <c r="J20" s="163">
        <v>947720</v>
      </c>
      <c r="K20" s="164">
        <f t="shared" si="16"/>
        <v>861468.75</v>
      </c>
      <c r="L20" s="204">
        <v>1009353</v>
      </c>
      <c r="M20" s="163">
        <v>1066689</v>
      </c>
      <c r="N20" s="165">
        <v>1195606</v>
      </c>
      <c r="O20" s="163">
        <v>1312679</v>
      </c>
      <c r="P20" s="166">
        <v>1146082</v>
      </c>
      <c r="Q20" s="204">
        <v>1402718</v>
      </c>
      <c r="R20" s="163">
        <v>1460839</v>
      </c>
      <c r="S20" s="163">
        <v>1493790</v>
      </c>
      <c r="T20" s="163">
        <v>1551290</v>
      </c>
      <c r="U20" s="166">
        <v>1477159</v>
      </c>
      <c r="V20" s="204">
        <v>1619742</v>
      </c>
      <c r="W20" s="419">
        <v>1667351</v>
      </c>
      <c r="X20" s="419">
        <v>1706181</v>
      </c>
      <c r="Y20" s="163">
        <v>1738351</v>
      </c>
      <c r="Z20" s="166">
        <v>1682906</v>
      </c>
      <c r="AA20" s="204">
        <v>1762912</v>
      </c>
      <c r="AB20" s="419"/>
      <c r="AC20" s="419"/>
      <c r="AD20" s="163"/>
      <c r="AE20" s="166"/>
    </row>
    <row r="21" spans="1:31" ht="20.100000000000001" customHeight="1" thickBot="1">
      <c r="A21" s="205" t="s">
        <v>151</v>
      </c>
      <c r="B21" s="206">
        <v>6288609</v>
      </c>
      <c r="C21" s="207">
        <v>6272029</v>
      </c>
      <c r="D21" s="207">
        <v>6271838</v>
      </c>
      <c r="E21" s="207">
        <v>6291791</v>
      </c>
      <c r="F21" s="208">
        <f>AVERAGE(B21:E21)</f>
        <v>6281066.75</v>
      </c>
      <c r="G21" s="209">
        <v>6316275</v>
      </c>
      <c r="H21" s="207">
        <v>6317333</v>
      </c>
      <c r="I21" s="207">
        <v>6293472</v>
      </c>
      <c r="J21" s="207">
        <v>6279979</v>
      </c>
      <c r="K21" s="208">
        <f>AVERAGE(G21:J21)</f>
        <v>6301764.75</v>
      </c>
      <c r="L21" s="209">
        <v>6274951</v>
      </c>
      <c r="M21" s="207">
        <v>6242450</v>
      </c>
      <c r="N21" s="180">
        <v>6201335</v>
      </c>
      <c r="O21" s="207">
        <v>6159902.666666667</v>
      </c>
      <c r="P21" s="210">
        <v>6219660</v>
      </c>
      <c r="Q21" s="209">
        <v>6105250</v>
      </c>
      <c r="R21" s="207">
        <v>6031638</v>
      </c>
      <c r="S21" s="207">
        <v>5960463</v>
      </c>
      <c r="T21" s="207">
        <v>5922397</v>
      </c>
      <c r="U21" s="210">
        <v>6004937</v>
      </c>
      <c r="V21" s="209">
        <v>5902526</v>
      </c>
      <c r="W21" s="207">
        <v>5876458</v>
      </c>
      <c r="X21" s="207">
        <v>5858477</v>
      </c>
      <c r="Y21" s="207">
        <v>5868541</v>
      </c>
      <c r="Z21" s="210">
        <v>5876500</v>
      </c>
      <c r="AA21" s="209">
        <v>5872517</v>
      </c>
      <c r="AB21" s="207"/>
      <c r="AC21" s="207"/>
      <c r="AD21" s="207"/>
      <c r="AE21" s="210"/>
    </row>
    <row r="22" spans="1:31" ht="20.100000000000001" customHeight="1">
      <c r="A22" s="211" t="s">
        <v>152</v>
      </c>
      <c r="B22" s="212"/>
      <c r="C22" s="213"/>
      <c r="D22" s="213"/>
      <c r="E22" s="213"/>
      <c r="F22" s="214"/>
      <c r="G22" s="215"/>
      <c r="H22" s="216"/>
      <c r="I22" s="216"/>
      <c r="J22" s="216"/>
      <c r="K22" s="214"/>
      <c r="L22" s="215"/>
      <c r="M22" s="217"/>
      <c r="N22" s="217"/>
      <c r="O22" s="216"/>
      <c r="P22" s="214"/>
      <c r="Q22" s="215"/>
      <c r="R22" s="217"/>
      <c r="S22" s="217"/>
      <c r="T22" s="216"/>
      <c r="U22" s="214"/>
      <c r="V22" s="215"/>
      <c r="W22" s="216"/>
      <c r="X22" s="216"/>
      <c r="Y22" s="216"/>
      <c r="Z22" s="214"/>
      <c r="AA22" s="215"/>
      <c r="AB22" s="216"/>
      <c r="AC22" s="216"/>
      <c r="AD22" s="216"/>
      <c r="AE22" s="214"/>
    </row>
    <row r="23" spans="1:31" ht="20.100000000000001" customHeight="1">
      <c r="A23" s="156" t="s">
        <v>141</v>
      </c>
      <c r="B23" s="218" t="s">
        <v>139</v>
      </c>
      <c r="C23" s="219" t="s">
        <v>139</v>
      </c>
      <c r="D23" s="219" t="s">
        <v>139</v>
      </c>
      <c r="E23" s="219" t="s">
        <v>139</v>
      </c>
      <c r="F23" s="160" t="s">
        <v>139</v>
      </c>
      <c r="G23" s="157">
        <f>SUM(G24:G26)</f>
        <v>4548385</v>
      </c>
      <c r="H23" s="158">
        <f t="shared" ref="H23:M23" si="18">SUM(H24:H26)</f>
        <v>4565319</v>
      </c>
      <c r="I23" s="158">
        <f t="shared" si="18"/>
        <v>4719129</v>
      </c>
      <c r="J23" s="158">
        <f t="shared" si="18"/>
        <v>4468527</v>
      </c>
      <c r="K23" s="159">
        <f t="shared" si="18"/>
        <v>4468527</v>
      </c>
      <c r="L23" s="157">
        <f t="shared" si="18"/>
        <v>4350325</v>
      </c>
      <c r="M23" s="158">
        <f t="shared" si="18"/>
        <v>4227128</v>
      </c>
      <c r="N23" s="158">
        <f>SUM(N24:N26)</f>
        <v>4219194</v>
      </c>
      <c r="O23" s="158">
        <f>SUM(O24:O26)</f>
        <v>4134203</v>
      </c>
      <c r="P23" s="160">
        <f>SUM(P24:P26)</f>
        <v>4134203</v>
      </c>
      <c r="Q23" s="157">
        <f t="shared" ref="Q23:U23" si="19">SUM(Q24:Q26)</f>
        <v>4034757</v>
      </c>
      <c r="R23" s="158">
        <f t="shared" si="19"/>
        <v>3972069</v>
      </c>
      <c r="S23" s="158">
        <f t="shared" si="19"/>
        <v>3976807</v>
      </c>
      <c r="T23" s="158">
        <f t="shared" si="19"/>
        <v>3854993</v>
      </c>
      <c r="U23" s="160">
        <f t="shared" si="19"/>
        <v>3854993</v>
      </c>
      <c r="V23" s="157">
        <f t="shared" ref="V23:AA23" si="20">SUM(V24:V26)</f>
        <v>3787667</v>
      </c>
      <c r="W23" s="158">
        <f t="shared" si="20"/>
        <v>3830816</v>
      </c>
      <c r="X23" s="158">
        <f t="shared" si="20"/>
        <v>3527904</v>
      </c>
      <c r="Y23" s="158">
        <f t="shared" si="20"/>
        <v>3270338</v>
      </c>
      <c r="Z23" s="160">
        <f t="shared" si="20"/>
        <v>3270338</v>
      </c>
      <c r="AA23" s="157">
        <f t="shared" si="20"/>
        <v>2879090</v>
      </c>
      <c r="AB23" s="158"/>
      <c r="AC23" s="158"/>
      <c r="AD23" s="158"/>
      <c r="AE23" s="160"/>
    </row>
    <row r="24" spans="1:31" ht="20.100000000000001" customHeight="1">
      <c r="A24" s="161" t="s">
        <v>153</v>
      </c>
      <c r="B24" s="189" t="s">
        <v>139</v>
      </c>
      <c r="C24" s="190" t="s">
        <v>139</v>
      </c>
      <c r="D24" s="190" t="s">
        <v>139</v>
      </c>
      <c r="E24" s="190" t="s">
        <v>139</v>
      </c>
      <c r="F24" s="166" t="s">
        <v>139</v>
      </c>
      <c r="G24" s="162">
        <v>85574</v>
      </c>
      <c r="H24" s="163">
        <v>81441</v>
      </c>
      <c r="I24" s="163">
        <v>84538</v>
      </c>
      <c r="J24" s="163">
        <v>77771</v>
      </c>
      <c r="K24" s="166">
        <f>J24</f>
        <v>77771</v>
      </c>
      <c r="L24" s="162">
        <v>81619</v>
      </c>
      <c r="M24" s="163">
        <v>66578</v>
      </c>
      <c r="N24" s="165">
        <v>98136</v>
      </c>
      <c r="O24" s="163">
        <v>122787</v>
      </c>
      <c r="P24" s="166">
        <v>122787</v>
      </c>
      <c r="Q24" s="162">
        <v>66163</v>
      </c>
      <c r="R24" s="163">
        <v>41517</v>
      </c>
      <c r="S24" s="163">
        <v>60471</v>
      </c>
      <c r="T24" s="163">
        <v>31972</v>
      </c>
      <c r="U24" s="166">
        <f>T24</f>
        <v>31972</v>
      </c>
      <c r="V24" s="162">
        <v>35754</v>
      </c>
      <c r="W24" s="163">
        <v>73544</v>
      </c>
      <c r="X24" s="163">
        <v>44913</v>
      </c>
      <c r="Y24" s="163">
        <v>79306</v>
      </c>
      <c r="Z24" s="166">
        <f>Y24</f>
        <v>79306</v>
      </c>
      <c r="AA24" s="162">
        <v>48224</v>
      </c>
      <c r="AB24" s="163"/>
      <c r="AC24" s="163"/>
      <c r="AD24" s="163"/>
      <c r="AE24" s="166"/>
    </row>
    <row r="25" spans="1:31" ht="20.100000000000001" customHeight="1">
      <c r="A25" s="161" t="s">
        <v>144</v>
      </c>
      <c r="B25" s="189" t="s">
        <v>139</v>
      </c>
      <c r="C25" s="190" t="s">
        <v>139</v>
      </c>
      <c r="D25" s="190" t="s">
        <v>139</v>
      </c>
      <c r="E25" s="190" t="s">
        <v>139</v>
      </c>
      <c r="F25" s="166" t="s">
        <v>139</v>
      </c>
      <c r="G25" s="162">
        <v>4385742</v>
      </c>
      <c r="H25" s="163">
        <v>4379630</v>
      </c>
      <c r="I25" s="163">
        <v>4475541</v>
      </c>
      <c r="J25" s="163">
        <v>4171810</v>
      </c>
      <c r="K25" s="166">
        <f>J25</f>
        <v>4171810</v>
      </c>
      <c r="L25" s="162">
        <v>4042605</v>
      </c>
      <c r="M25" s="163">
        <v>3923778</v>
      </c>
      <c r="N25" s="165">
        <v>3855669</v>
      </c>
      <c r="O25" s="163">
        <v>3792978</v>
      </c>
      <c r="P25" s="166">
        <v>3792978</v>
      </c>
      <c r="Q25" s="162">
        <v>3775976</v>
      </c>
      <c r="R25" s="163">
        <v>3737282</v>
      </c>
      <c r="S25" s="163">
        <v>3685092</v>
      </c>
      <c r="T25" s="163">
        <v>3591736</v>
      </c>
      <c r="U25" s="166">
        <f t="shared" ref="U25:U26" si="21">T25</f>
        <v>3591736</v>
      </c>
      <c r="V25" s="162">
        <v>3495733</v>
      </c>
      <c r="W25" s="163">
        <v>3473228</v>
      </c>
      <c r="X25" s="163">
        <v>3223224</v>
      </c>
      <c r="Y25" s="163">
        <v>2972443</v>
      </c>
      <c r="Z25" s="166">
        <f t="shared" ref="Z25:Z26" si="22">Y25</f>
        <v>2972443</v>
      </c>
      <c r="AA25" s="162">
        <v>2646477</v>
      </c>
      <c r="AB25" s="163"/>
      <c r="AC25" s="163"/>
      <c r="AD25" s="163"/>
      <c r="AE25" s="166"/>
    </row>
    <row r="26" spans="1:31" ht="20.100000000000001" customHeight="1" thickBot="1">
      <c r="A26" s="161" t="s">
        <v>154</v>
      </c>
      <c r="B26" s="220" t="s">
        <v>139</v>
      </c>
      <c r="C26" s="221" t="s">
        <v>139</v>
      </c>
      <c r="D26" s="221" t="s">
        <v>139</v>
      </c>
      <c r="E26" s="221" t="s">
        <v>139</v>
      </c>
      <c r="F26" s="166" t="s">
        <v>139</v>
      </c>
      <c r="G26" s="162">
        <v>77069</v>
      </c>
      <c r="H26" s="163">
        <v>104248</v>
      </c>
      <c r="I26" s="163">
        <v>159050</v>
      </c>
      <c r="J26" s="163">
        <v>218946</v>
      </c>
      <c r="K26" s="166">
        <f>J26</f>
        <v>218946</v>
      </c>
      <c r="L26" s="162">
        <v>226101</v>
      </c>
      <c r="M26" s="163">
        <v>236772</v>
      </c>
      <c r="N26" s="165">
        <v>265389</v>
      </c>
      <c r="O26" s="163">
        <v>218438</v>
      </c>
      <c r="P26" s="166">
        <v>218438</v>
      </c>
      <c r="Q26" s="162">
        <v>192618</v>
      </c>
      <c r="R26" s="163">
        <v>193270</v>
      </c>
      <c r="S26" s="163">
        <v>231244</v>
      </c>
      <c r="T26" s="163">
        <v>231285</v>
      </c>
      <c r="U26" s="166">
        <f t="shared" si="21"/>
        <v>231285</v>
      </c>
      <c r="V26" s="162">
        <v>256180</v>
      </c>
      <c r="W26" s="163">
        <v>284044</v>
      </c>
      <c r="X26" s="163">
        <v>259767</v>
      </c>
      <c r="Y26" s="163">
        <v>218589</v>
      </c>
      <c r="Z26" s="166">
        <f t="shared" si="22"/>
        <v>218589</v>
      </c>
      <c r="AA26" s="162">
        <v>184389</v>
      </c>
      <c r="AB26" s="163"/>
      <c r="AC26" s="163"/>
      <c r="AD26" s="163"/>
      <c r="AE26" s="166"/>
    </row>
    <row r="27" spans="1:31" ht="20.100000000000001" customHeight="1" thickBot="1">
      <c r="A27" s="222" t="s">
        <v>155</v>
      </c>
      <c r="B27" s="223" t="s">
        <v>139</v>
      </c>
      <c r="C27" s="224" t="s">
        <v>139</v>
      </c>
      <c r="D27" s="224" t="s">
        <v>139</v>
      </c>
      <c r="E27" s="224" t="s">
        <v>139</v>
      </c>
      <c r="F27" s="225" t="s">
        <v>139</v>
      </c>
      <c r="G27" s="226">
        <v>18</v>
      </c>
      <c r="H27" s="227">
        <v>19.2</v>
      </c>
      <c r="I27" s="227">
        <v>18.2</v>
      </c>
      <c r="J27" s="227">
        <v>17.5</v>
      </c>
      <c r="K27" s="228">
        <v>18.2</v>
      </c>
      <c r="L27" s="226">
        <v>16.5</v>
      </c>
      <c r="M27" s="227">
        <v>17.899999999999999</v>
      </c>
      <c r="N27" s="229">
        <v>18.3</v>
      </c>
      <c r="O27" s="227">
        <v>18.2</v>
      </c>
      <c r="P27" s="228">
        <v>17.7</v>
      </c>
      <c r="Q27" s="226">
        <v>17.3</v>
      </c>
      <c r="R27" s="227">
        <v>18.3</v>
      </c>
      <c r="S27" s="227">
        <v>19</v>
      </c>
      <c r="T27" s="227">
        <v>18.5</v>
      </c>
      <c r="U27" s="228">
        <v>18.3</v>
      </c>
      <c r="V27" s="226">
        <v>17.7</v>
      </c>
      <c r="W27" s="227">
        <v>18.899999999999999</v>
      </c>
      <c r="X27" s="227">
        <v>18.7</v>
      </c>
      <c r="Y27" s="227">
        <v>19.2</v>
      </c>
      <c r="Z27" s="228">
        <v>18.600000000000001</v>
      </c>
      <c r="AA27" s="226">
        <v>18.7</v>
      </c>
      <c r="AB27" s="227"/>
      <c r="AC27" s="227"/>
      <c r="AD27" s="227"/>
      <c r="AE27" s="228"/>
    </row>
    <row r="28" spans="1:31" ht="20.100000000000001" customHeight="1">
      <c r="A28" s="230" t="s">
        <v>150</v>
      </c>
      <c r="B28" s="231" t="s">
        <v>139</v>
      </c>
      <c r="C28" s="232" t="s">
        <v>139</v>
      </c>
      <c r="D28" s="232" t="s">
        <v>139</v>
      </c>
      <c r="E28" s="232" t="s">
        <v>139</v>
      </c>
      <c r="F28" s="233" t="s">
        <v>139</v>
      </c>
      <c r="G28" s="201">
        <f>SUM(G29:G31)</f>
        <v>4549031</v>
      </c>
      <c r="H28" s="202">
        <f t="shared" ref="H28:M28" si="23">SUM(H29:H31)</f>
        <v>4532090</v>
      </c>
      <c r="I28" s="202">
        <f t="shared" si="23"/>
        <v>4635182</v>
      </c>
      <c r="J28" s="202">
        <f t="shared" si="23"/>
        <v>4599374</v>
      </c>
      <c r="K28" s="233">
        <f t="shared" si="23"/>
        <v>4578919.25</v>
      </c>
      <c r="L28" s="201">
        <f t="shared" si="23"/>
        <v>4398038</v>
      </c>
      <c r="M28" s="202">
        <f t="shared" si="23"/>
        <v>4285747</v>
      </c>
      <c r="N28" s="202">
        <f>SUM(N29:N31)</f>
        <v>4212274</v>
      </c>
      <c r="O28" s="202">
        <f>SUM(O29:O31)</f>
        <v>4172129</v>
      </c>
      <c r="P28" s="233">
        <f>SUM(P29:P31)</f>
        <v>4267047</v>
      </c>
      <c r="Q28" s="201">
        <f t="shared" ref="Q28:U28" si="24">SUM(Q29:Q31)</f>
        <v>4068646</v>
      </c>
      <c r="R28" s="202">
        <f t="shared" si="24"/>
        <v>4006108</v>
      </c>
      <c r="S28" s="202">
        <f t="shared" si="24"/>
        <v>3970091</v>
      </c>
      <c r="T28" s="202">
        <f t="shared" si="24"/>
        <v>3917979</v>
      </c>
      <c r="U28" s="233">
        <f t="shared" si="24"/>
        <v>3990706</v>
      </c>
      <c r="V28" s="201">
        <f t="shared" ref="V28:AA28" si="25">SUM(V29:V31)</f>
        <v>3801870</v>
      </c>
      <c r="W28" s="202">
        <f t="shared" si="25"/>
        <v>3794613</v>
      </c>
      <c r="X28" s="202">
        <f t="shared" si="25"/>
        <v>3713417</v>
      </c>
      <c r="Y28" s="202">
        <f t="shared" si="25"/>
        <v>3341220</v>
      </c>
      <c r="Z28" s="233">
        <f t="shared" si="25"/>
        <v>3662780</v>
      </c>
      <c r="AA28" s="201">
        <f t="shared" si="25"/>
        <v>3050604</v>
      </c>
      <c r="AB28" s="202"/>
      <c r="AC28" s="202"/>
      <c r="AD28" s="202"/>
      <c r="AE28" s="233"/>
    </row>
    <row r="29" spans="1:31" ht="20.100000000000001" customHeight="1">
      <c r="A29" s="161" t="s">
        <v>153</v>
      </c>
      <c r="B29" s="189" t="s">
        <v>139</v>
      </c>
      <c r="C29" s="190" t="s">
        <v>139</v>
      </c>
      <c r="D29" s="190" t="s">
        <v>139</v>
      </c>
      <c r="E29" s="190" t="s">
        <v>139</v>
      </c>
      <c r="F29" s="166" t="s">
        <v>139</v>
      </c>
      <c r="G29" s="162">
        <v>78707</v>
      </c>
      <c r="H29" s="163">
        <v>73828</v>
      </c>
      <c r="I29" s="163">
        <v>68740</v>
      </c>
      <c r="J29" s="163">
        <v>77953</v>
      </c>
      <c r="K29" s="166">
        <f>AVERAGE(G29:J29)</f>
        <v>74807</v>
      </c>
      <c r="L29" s="162">
        <v>77779</v>
      </c>
      <c r="M29" s="163">
        <v>79253</v>
      </c>
      <c r="N29" s="165">
        <v>69522</v>
      </c>
      <c r="O29" s="163">
        <v>129021</v>
      </c>
      <c r="P29" s="166">
        <v>88894</v>
      </c>
      <c r="Q29" s="162">
        <v>67972</v>
      </c>
      <c r="R29" s="163">
        <v>61165</v>
      </c>
      <c r="S29" s="163">
        <v>41313</v>
      </c>
      <c r="T29" s="163">
        <v>56743</v>
      </c>
      <c r="U29" s="166">
        <v>56798</v>
      </c>
      <c r="V29" s="162">
        <v>36255</v>
      </c>
      <c r="W29" s="163">
        <v>52114</v>
      </c>
      <c r="X29" s="163">
        <v>42971</v>
      </c>
      <c r="Y29" s="163">
        <v>54083</v>
      </c>
      <c r="Z29" s="166">
        <v>46356</v>
      </c>
      <c r="AA29" s="162">
        <v>48659</v>
      </c>
      <c r="AB29" s="163"/>
      <c r="AC29" s="163"/>
      <c r="AD29" s="163"/>
      <c r="AE29" s="166"/>
    </row>
    <row r="30" spans="1:31" ht="20.100000000000001" customHeight="1">
      <c r="A30" s="161" t="s">
        <v>144</v>
      </c>
      <c r="B30" s="189" t="s">
        <v>139</v>
      </c>
      <c r="C30" s="190" t="s">
        <v>139</v>
      </c>
      <c r="D30" s="190" t="s">
        <v>139</v>
      </c>
      <c r="E30" s="190" t="s">
        <v>139</v>
      </c>
      <c r="F30" s="166" t="s">
        <v>139</v>
      </c>
      <c r="G30" s="162">
        <v>4397976</v>
      </c>
      <c r="H30" s="163">
        <v>4370181</v>
      </c>
      <c r="I30" s="163">
        <v>4431149</v>
      </c>
      <c r="J30" s="163">
        <v>4338987</v>
      </c>
      <c r="K30" s="166">
        <f t="shared" ref="K30:K31" si="26">AVERAGE(G30:J30)</f>
        <v>4384573.25</v>
      </c>
      <c r="L30" s="162">
        <v>4091609</v>
      </c>
      <c r="M30" s="163">
        <v>3975410</v>
      </c>
      <c r="N30" s="165">
        <v>3893375</v>
      </c>
      <c r="O30" s="163">
        <v>3798701</v>
      </c>
      <c r="P30" s="166">
        <v>3939774</v>
      </c>
      <c r="Q30" s="162">
        <v>3797423</v>
      </c>
      <c r="R30" s="163">
        <v>3755130</v>
      </c>
      <c r="S30" s="163">
        <v>3713656</v>
      </c>
      <c r="T30" s="163">
        <v>3630863</v>
      </c>
      <c r="U30" s="166">
        <v>3724268</v>
      </c>
      <c r="V30" s="162">
        <v>3529840</v>
      </c>
      <c r="W30" s="163">
        <v>3473104</v>
      </c>
      <c r="X30" s="163">
        <v>3386794</v>
      </c>
      <c r="Y30" s="163">
        <v>3058691</v>
      </c>
      <c r="Z30" s="166">
        <v>3362107</v>
      </c>
      <c r="AA30" s="162">
        <v>2800366</v>
      </c>
      <c r="AB30" s="163"/>
      <c r="AC30" s="163"/>
      <c r="AD30" s="163"/>
      <c r="AE30" s="166"/>
    </row>
    <row r="31" spans="1:31" ht="20.100000000000001" customHeight="1" thickBot="1">
      <c r="A31" s="234" t="s">
        <v>154</v>
      </c>
      <c r="B31" s="220" t="s">
        <v>139</v>
      </c>
      <c r="C31" s="221" t="s">
        <v>139</v>
      </c>
      <c r="D31" s="221" t="s">
        <v>139</v>
      </c>
      <c r="E31" s="221" t="s">
        <v>139</v>
      </c>
      <c r="F31" s="235" t="s">
        <v>139</v>
      </c>
      <c r="G31" s="236">
        <v>72348</v>
      </c>
      <c r="H31" s="237">
        <v>88081</v>
      </c>
      <c r="I31" s="237">
        <v>135293</v>
      </c>
      <c r="J31" s="237">
        <v>182434</v>
      </c>
      <c r="K31" s="235">
        <f t="shared" si="26"/>
        <v>119539</v>
      </c>
      <c r="L31" s="236">
        <v>228650</v>
      </c>
      <c r="M31" s="237">
        <v>231084</v>
      </c>
      <c r="N31" s="238">
        <v>249377</v>
      </c>
      <c r="O31" s="237">
        <v>244407</v>
      </c>
      <c r="P31" s="235">
        <v>238379</v>
      </c>
      <c r="Q31" s="236">
        <v>203251</v>
      </c>
      <c r="R31" s="237">
        <v>189813</v>
      </c>
      <c r="S31" s="237">
        <v>215122</v>
      </c>
      <c r="T31" s="237">
        <v>230373</v>
      </c>
      <c r="U31" s="235">
        <v>209640</v>
      </c>
      <c r="V31" s="236">
        <v>235775</v>
      </c>
      <c r="W31" s="237">
        <v>269395</v>
      </c>
      <c r="X31" s="237">
        <v>283652</v>
      </c>
      <c r="Y31" s="237">
        <v>228446</v>
      </c>
      <c r="Z31" s="235">
        <v>254317</v>
      </c>
      <c r="AA31" s="236">
        <v>201579</v>
      </c>
      <c r="AB31" s="237"/>
      <c r="AC31" s="237"/>
      <c r="AD31" s="237"/>
      <c r="AE31" s="235"/>
    </row>
    <row r="32" spans="1:31" s="239" customFormat="1" ht="20.100000000000001" customHeight="1">
      <c r="A32" s="240"/>
      <c r="R32" s="240"/>
      <c r="S32" s="240"/>
    </row>
    <row r="33" spans="1:31" s="239" customFormat="1" ht="20.100000000000001" customHeight="1">
      <c r="A33" s="241" t="s">
        <v>156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1"/>
      <c r="S33" s="241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</row>
    <row r="34" spans="1:31" s="239" customFormat="1" ht="20.100000000000001" customHeight="1">
      <c r="A34" s="241" t="s">
        <v>157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1"/>
      <c r="S34" s="241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</row>
    <row r="35" spans="1:31" s="239" customFormat="1" ht="20.100000000000001" customHeight="1">
      <c r="A35" s="552" t="s">
        <v>158</v>
      </c>
      <c r="B35" s="551"/>
      <c r="C35" s="551"/>
      <c r="D35" s="551"/>
      <c r="E35" s="551"/>
      <c r="F35" s="551"/>
      <c r="G35" s="551"/>
      <c r="H35" s="551"/>
      <c r="I35" s="551"/>
      <c r="J35" s="242"/>
      <c r="K35" s="242"/>
      <c r="L35" s="242"/>
      <c r="M35" s="242"/>
      <c r="N35" s="242"/>
      <c r="O35" s="242"/>
      <c r="P35" s="242"/>
      <c r="Q35" s="242"/>
      <c r="R35" s="241"/>
      <c r="S35" s="241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</row>
    <row r="36" spans="1:31" s="239" customFormat="1" ht="30" customHeight="1">
      <c r="A36" s="552" t="s">
        <v>159</v>
      </c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2"/>
      <c r="T36" s="240"/>
      <c r="Y36" s="240"/>
      <c r="AD36" s="240"/>
    </row>
    <row r="37" spans="1:31" s="239" customFormat="1" ht="20.100000000000001" customHeight="1">
      <c r="A37" s="551" t="s">
        <v>160</v>
      </c>
      <c r="B37" s="551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242"/>
      <c r="O37" s="242"/>
      <c r="P37" s="242"/>
      <c r="Q37" s="242"/>
      <c r="R37" s="241"/>
      <c r="S37" s="241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</row>
    <row r="38" spans="1:31" s="239" customFormat="1" ht="20.100000000000001" customHeight="1">
      <c r="A38" s="240"/>
      <c r="R38" s="240"/>
      <c r="S38" s="240"/>
    </row>
    <row r="39" spans="1:31" ht="20.100000000000001" customHeight="1"/>
    <row r="40" spans="1:31" ht="20.100000000000001" customHeight="1"/>
    <row r="41" spans="1:31" ht="20.100000000000001" customHeight="1"/>
    <row r="42" spans="1:31" ht="20.100000000000001" customHeight="1"/>
    <row r="43" spans="1:31" ht="20.100000000000001" customHeight="1"/>
    <row r="44" spans="1:31" ht="20.100000000000001" customHeight="1"/>
    <row r="45" spans="1:31" ht="20.100000000000001" customHeight="1"/>
    <row r="46" spans="1:31" ht="20.100000000000001" customHeight="1"/>
    <row r="47" spans="1:31" ht="20.100000000000001" customHeight="1"/>
    <row r="48" spans="1:31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40"/>
      <c r="AG50" s="240"/>
      <c r="AH50" s="240"/>
      <c r="AI50" s="240"/>
      <c r="AJ50" s="240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40"/>
      <c r="AG51" s="240"/>
      <c r="AH51" s="240"/>
      <c r="AI51" s="240"/>
      <c r="AJ51" s="240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40"/>
      <c r="AG52" s="240"/>
      <c r="AH52" s="240"/>
      <c r="AI52" s="240"/>
      <c r="AJ52" s="240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40"/>
      <c r="AG53" s="240"/>
      <c r="AH53" s="240"/>
      <c r="AI53" s="240"/>
      <c r="AJ53" s="240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40"/>
      <c r="AG54" s="240"/>
      <c r="AH54" s="240"/>
      <c r="AI54" s="240"/>
      <c r="AJ54" s="240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40"/>
      <c r="AG55" s="240"/>
      <c r="AH55" s="240"/>
      <c r="AI55" s="240"/>
      <c r="AJ55" s="240"/>
    </row>
  </sheetData>
  <mergeCells count="17">
    <mergeCell ref="AA3:AD3"/>
    <mergeCell ref="AE3:AE4"/>
    <mergeCell ref="Z3:Z4"/>
    <mergeCell ref="V3:Y3"/>
    <mergeCell ref="A37:M37"/>
    <mergeCell ref="A36:S36"/>
    <mergeCell ref="U3:U4"/>
    <mergeCell ref="Q3:T3"/>
    <mergeCell ref="P3:P4"/>
    <mergeCell ref="A35:I35"/>
    <mergeCell ref="A2:N2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:Y23 AA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showGridLines="0" zoomScale="85" zoomScaleNormal="85" workbookViewId="0">
      <selection activeCell="J64" sqref="J64"/>
    </sheetView>
  </sheetViews>
  <sheetFormatPr defaultRowHeight="14.25"/>
  <cols>
    <col min="1" max="1" width="1.625" style="16" customWidth="1"/>
    <col min="2" max="2" width="30.75" customWidth="1"/>
    <col min="3" max="5" width="12.625" customWidth="1"/>
    <col min="6" max="27" width="9" style="16"/>
  </cols>
  <sheetData>
    <row r="1" spans="2:9" s="16" customFormat="1" ht="50.25" customHeight="1" thickBot="1">
      <c r="B1" s="3" t="s">
        <v>103</v>
      </c>
    </row>
    <row r="2" spans="2:9" ht="20.25" customHeight="1" thickBot="1">
      <c r="B2" s="553" t="s">
        <v>111</v>
      </c>
      <c r="C2" s="530" t="s">
        <v>228</v>
      </c>
      <c r="D2" s="531"/>
      <c r="E2" s="532"/>
    </row>
    <row r="3" spans="2:9" ht="20.25" customHeight="1" thickBot="1">
      <c r="B3" s="554"/>
      <c r="C3" s="273">
        <v>2017</v>
      </c>
      <c r="D3" s="274">
        <v>2016</v>
      </c>
      <c r="E3" s="275" t="s">
        <v>161</v>
      </c>
      <c r="F3" s="243"/>
      <c r="G3" s="243"/>
      <c r="H3" s="243"/>
      <c r="I3" s="243"/>
    </row>
    <row r="4" spans="2:9" ht="25.5" customHeight="1">
      <c r="B4" s="244" t="s">
        <v>162</v>
      </c>
      <c r="C4" s="245">
        <v>0.2427</v>
      </c>
      <c r="D4" s="250">
        <v>0.24399999999999999</v>
      </c>
      <c r="E4" s="246">
        <f>IFERROR((C4-D4)/D4,"n/d")</f>
        <v>-5.3278688524589987E-3</v>
      </c>
      <c r="F4" s="247"/>
      <c r="G4" s="243"/>
      <c r="H4" s="243"/>
      <c r="I4" s="243"/>
    </row>
    <row r="5" spans="2:9" ht="25.5" customHeight="1">
      <c r="B5" s="248" t="s">
        <v>163</v>
      </c>
      <c r="C5" s="249">
        <v>0.1273</v>
      </c>
      <c r="D5" s="250">
        <v>0.1273</v>
      </c>
      <c r="E5" s="514">
        <f t="shared" ref="E5:E6" si="0">IFERROR((C5-D5)/D5,"n/d")</f>
        <v>0</v>
      </c>
      <c r="F5" s="247"/>
      <c r="G5" s="243"/>
      <c r="H5" s="243"/>
      <c r="I5" s="243"/>
    </row>
    <row r="6" spans="2:9" ht="25.5" customHeight="1">
      <c r="B6" s="248" t="s">
        <v>248</v>
      </c>
      <c r="C6" s="249">
        <v>0.1153</v>
      </c>
      <c r="D6" s="250">
        <v>0.1167</v>
      </c>
      <c r="E6" s="251">
        <f t="shared" si="0"/>
        <v>-1.199657240788345E-2</v>
      </c>
      <c r="F6" s="247"/>
      <c r="G6" s="243"/>
      <c r="H6" s="243"/>
      <c r="I6" s="243"/>
    </row>
    <row r="7" spans="2:9" ht="18" customHeight="1">
      <c r="B7" s="436" t="s">
        <v>183</v>
      </c>
      <c r="C7" s="252">
        <v>3.9699999999999999E-2</v>
      </c>
      <c r="D7" s="253">
        <v>3.7499999999999999E-2</v>
      </c>
      <c r="E7" s="254">
        <f t="shared" ref="E7:E30" si="1">IFERROR((C7-D7)/D7,"n/d")</f>
        <v>5.8666666666666686E-2</v>
      </c>
      <c r="F7" s="255"/>
      <c r="G7" s="243"/>
      <c r="H7" s="243"/>
      <c r="I7" s="243"/>
    </row>
    <row r="8" spans="2:9" ht="18" customHeight="1">
      <c r="B8" s="436" t="s">
        <v>184</v>
      </c>
      <c r="C8" s="252">
        <v>1.6899999999999998E-2</v>
      </c>
      <c r="D8" s="253">
        <v>1.8100000000000002E-2</v>
      </c>
      <c r="E8" s="254">
        <f t="shared" si="1"/>
        <v>-6.6298342541436628E-2</v>
      </c>
      <c r="F8" s="255"/>
      <c r="G8" s="243"/>
      <c r="H8" s="243"/>
      <c r="I8" s="243"/>
    </row>
    <row r="9" spans="2:9" ht="18" customHeight="1">
      <c r="B9" s="436" t="s">
        <v>185</v>
      </c>
      <c r="C9" s="252">
        <v>1.2699999999999999E-2</v>
      </c>
      <c r="D9" s="253">
        <v>1.37E-2</v>
      </c>
      <c r="E9" s="254">
        <f t="shared" si="1"/>
        <v>-7.2992700729927071E-2</v>
      </c>
      <c r="F9" s="255"/>
      <c r="G9" s="243"/>
      <c r="H9" s="243"/>
      <c r="I9" s="243"/>
    </row>
    <row r="10" spans="2:9" ht="18" customHeight="1">
      <c r="B10" s="513" t="s">
        <v>233</v>
      </c>
      <c r="C10" s="252">
        <v>7.7000000000000002E-3</v>
      </c>
      <c r="D10" s="253" t="s">
        <v>139</v>
      </c>
      <c r="E10" s="254" t="str">
        <f t="shared" si="1"/>
        <v>n/d</v>
      </c>
      <c r="F10" s="255"/>
      <c r="G10" s="243"/>
      <c r="H10" s="243"/>
      <c r="I10" s="243"/>
    </row>
    <row r="11" spans="2:9" ht="18" customHeight="1">
      <c r="B11" s="436" t="s">
        <v>167</v>
      </c>
      <c r="C11" s="252">
        <v>7.6E-3</v>
      </c>
      <c r="D11" s="253">
        <v>8.6E-3</v>
      </c>
      <c r="E11" s="254">
        <f t="shared" si="1"/>
        <v>-0.11627906976744186</v>
      </c>
      <c r="F11" s="255"/>
      <c r="G11" s="243"/>
      <c r="H11" s="243"/>
      <c r="I11" s="243"/>
    </row>
    <row r="12" spans="2:9" ht="18" customHeight="1">
      <c r="B12" s="436" t="s">
        <v>164</v>
      </c>
      <c r="C12" s="252">
        <v>7.1999999999999998E-3</v>
      </c>
      <c r="D12" s="253">
        <v>7.3000000000000001E-3</v>
      </c>
      <c r="E12" s="254">
        <f t="shared" si="1"/>
        <v>-1.3698630136986337E-2</v>
      </c>
      <c r="F12" s="255"/>
      <c r="G12" s="243"/>
      <c r="H12" s="243"/>
      <c r="I12" s="243"/>
    </row>
    <row r="13" spans="2:9" ht="18" customHeight="1">
      <c r="B13" s="436" t="s">
        <v>169</v>
      </c>
      <c r="C13" s="252">
        <v>5.5999999999999999E-3</v>
      </c>
      <c r="D13" s="253">
        <v>6.7999999999999996E-3</v>
      </c>
      <c r="E13" s="254">
        <f t="shared" si="1"/>
        <v>-0.17647058823529407</v>
      </c>
      <c r="F13" s="255"/>
      <c r="G13" s="243"/>
      <c r="H13" s="243"/>
      <c r="I13" s="243"/>
    </row>
    <row r="14" spans="2:9" ht="18" customHeight="1">
      <c r="B14" s="436" t="s">
        <v>168</v>
      </c>
      <c r="C14" s="252">
        <v>4.1999999999999997E-3</v>
      </c>
      <c r="D14" s="253">
        <v>3.3999999999999998E-3</v>
      </c>
      <c r="E14" s="254">
        <f t="shared" si="1"/>
        <v>0.23529411764705882</v>
      </c>
      <c r="F14" s="255"/>
      <c r="G14" s="243"/>
      <c r="H14" s="243"/>
      <c r="I14" s="243"/>
    </row>
    <row r="15" spans="2:9" ht="18" customHeight="1">
      <c r="B15" s="436" t="s">
        <v>165</v>
      </c>
      <c r="C15" s="252">
        <v>2.3E-3</v>
      </c>
      <c r="D15" s="253">
        <v>4.4999999999999997E-3</v>
      </c>
      <c r="E15" s="254">
        <f t="shared" si="1"/>
        <v>-0.48888888888888887</v>
      </c>
      <c r="F15" s="255"/>
      <c r="G15" s="243"/>
      <c r="H15" s="243"/>
      <c r="I15" s="243"/>
    </row>
    <row r="16" spans="2:9" ht="18" customHeight="1">
      <c r="B16" s="436" t="s">
        <v>186</v>
      </c>
      <c r="C16" s="252">
        <v>1.9E-3</v>
      </c>
      <c r="D16" s="253">
        <v>2.7000000000000001E-3</v>
      </c>
      <c r="E16" s="254">
        <f t="shared" si="1"/>
        <v>-0.29629629629629634</v>
      </c>
      <c r="F16" s="255"/>
      <c r="G16" s="243"/>
      <c r="H16" s="243"/>
      <c r="I16" s="243"/>
    </row>
    <row r="17" spans="2:9" ht="18" customHeight="1">
      <c r="B17" s="436" t="s">
        <v>187</v>
      </c>
      <c r="C17" s="252">
        <v>1.8E-3</v>
      </c>
      <c r="D17" s="253">
        <v>2.3999999999999998E-3</v>
      </c>
      <c r="E17" s="254">
        <f t="shared" si="1"/>
        <v>-0.24999999999999994</v>
      </c>
      <c r="F17" s="255"/>
      <c r="G17" s="243"/>
      <c r="H17" s="243"/>
      <c r="I17" s="243"/>
    </row>
    <row r="18" spans="2:9" ht="18" customHeight="1">
      <c r="B18" s="436" t="s">
        <v>171</v>
      </c>
      <c r="C18" s="252">
        <v>1.5E-3</v>
      </c>
      <c r="D18" s="253">
        <v>1.1000000000000001E-3</v>
      </c>
      <c r="E18" s="254">
        <f t="shared" si="1"/>
        <v>0.36363636363636359</v>
      </c>
      <c r="F18" s="255"/>
      <c r="G18" s="243"/>
      <c r="H18" s="243"/>
      <c r="I18" s="243"/>
    </row>
    <row r="19" spans="2:9" ht="18" customHeight="1">
      <c r="B19" s="436" t="s">
        <v>170</v>
      </c>
      <c r="C19" s="252">
        <v>1.1999999999999999E-3</v>
      </c>
      <c r="D19" s="253">
        <v>1.1000000000000001E-3</v>
      </c>
      <c r="E19" s="254">
        <f t="shared" si="1"/>
        <v>9.0909090909090745E-2</v>
      </c>
      <c r="F19" s="255"/>
      <c r="G19" s="243"/>
      <c r="H19" s="243"/>
      <c r="I19" s="243"/>
    </row>
    <row r="20" spans="2:9" ht="18" customHeight="1">
      <c r="B20" s="436" t="s">
        <v>188</v>
      </c>
      <c r="C20" s="252">
        <v>1.1999999999999999E-3</v>
      </c>
      <c r="D20" s="253">
        <v>1E-3</v>
      </c>
      <c r="E20" s="254">
        <f t="shared" si="1"/>
        <v>0.19999999999999987</v>
      </c>
      <c r="F20" s="255"/>
      <c r="G20" s="243"/>
      <c r="H20" s="243"/>
      <c r="I20" s="243"/>
    </row>
    <row r="21" spans="2:9" ht="18" customHeight="1">
      <c r="B21" s="436" t="s">
        <v>173</v>
      </c>
      <c r="C21" s="252">
        <v>1.1000000000000001E-3</v>
      </c>
      <c r="D21" s="253">
        <v>1.6000000000000001E-3</v>
      </c>
      <c r="E21" s="254">
        <f t="shared" si="1"/>
        <v>-0.3125</v>
      </c>
      <c r="F21" s="255"/>
      <c r="G21" s="243"/>
      <c r="H21" s="243"/>
      <c r="I21" s="243"/>
    </row>
    <row r="22" spans="2:9" ht="18" customHeight="1">
      <c r="B22" s="436" t="s">
        <v>189</v>
      </c>
      <c r="C22" s="252">
        <v>1E-3</v>
      </c>
      <c r="D22" s="253">
        <v>6.9999999999999999E-4</v>
      </c>
      <c r="E22" s="254">
        <f t="shared" si="1"/>
        <v>0.4285714285714286</v>
      </c>
      <c r="F22" s="255"/>
      <c r="G22" s="243"/>
      <c r="H22" s="243"/>
      <c r="I22" s="243"/>
    </row>
    <row r="23" spans="2:9" ht="18" customHeight="1">
      <c r="B23" s="436" t="s">
        <v>166</v>
      </c>
      <c r="C23" s="252">
        <v>8.0000000000000004E-4</v>
      </c>
      <c r="D23" s="253">
        <v>8.9999999999999998E-4</v>
      </c>
      <c r="E23" s="254">
        <f t="shared" si="1"/>
        <v>-0.11111111111111105</v>
      </c>
      <c r="F23" s="255"/>
      <c r="G23" s="243"/>
      <c r="H23" s="243"/>
      <c r="I23" s="243"/>
    </row>
    <row r="24" spans="2:9" ht="18" customHeight="1">
      <c r="B24" s="513" t="s">
        <v>234</v>
      </c>
      <c r="C24" s="252">
        <v>5.0000000000000001E-4</v>
      </c>
      <c r="D24" s="253" t="s">
        <v>139</v>
      </c>
      <c r="E24" s="254" t="str">
        <f t="shared" si="1"/>
        <v>n/d</v>
      </c>
      <c r="F24" s="255"/>
      <c r="G24" s="243"/>
      <c r="H24" s="243"/>
      <c r="I24" s="243"/>
    </row>
    <row r="25" spans="2:9" ht="18" customHeight="1">
      <c r="B25" s="436" t="s">
        <v>190</v>
      </c>
      <c r="C25" s="252">
        <v>2.9999999999999997E-4</v>
      </c>
      <c r="D25" s="253">
        <v>1E-4</v>
      </c>
      <c r="E25" s="254">
        <f t="shared" si="1"/>
        <v>1.9999999999999998</v>
      </c>
      <c r="F25" s="255"/>
      <c r="G25" s="243"/>
      <c r="H25" s="243"/>
      <c r="I25" s="243"/>
    </row>
    <row r="26" spans="2:9" ht="18" customHeight="1">
      <c r="B26" s="513" t="s">
        <v>235</v>
      </c>
      <c r="C26" s="252">
        <v>2.9999999999999997E-4</v>
      </c>
      <c r="D26" s="253" t="s">
        <v>139</v>
      </c>
      <c r="E26" s="254" t="str">
        <f t="shared" si="1"/>
        <v>n/d</v>
      </c>
      <c r="F26" s="255"/>
      <c r="G26" s="243"/>
      <c r="H26" s="243"/>
      <c r="I26" s="243"/>
    </row>
    <row r="27" spans="2:9" ht="18" customHeight="1">
      <c r="B27" s="513" t="s">
        <v>231</v>
      </c>
      <c r="C27" s="252">
        <v>2.0000000000000001E-4</v>
      </c>
      <c r="D27" s="427" t="s">
        <v>139</v>
      </c>
      <c r="E27" s="254" t="str">
        <f t="shared" si="1"/>
        <v>n/d</v>
      </c>
      <c r="F27" s="255"/>
      <c r="G27" s="243"/>
      <c r="H27" s="243"/>
      <c r="I27" s="243"/>
    </row>
    <row r="28" spans="2:9" ht="18" customHeight="1">
      <c r="B28" s="436" t="s">
        <v>172</v>
      </c>
      <c r="C28" s="252">
        <v>1E-4</v>
      </c>
      <c r="D28" s="253">
        <v>2.9999999999999997E-4</v>
      </c>
      <c r="E28" s="254">
        <f t="shared" si="1"/>
        <v>-0.66666666666666663</v>
      </c>
      <c r="F28" s="255"/>
      <c r="G28" s="243"/>
      <c r="H28" s="243"/>
      <c r="I28" s="243"/>
    </row>
    <row r="29" spans="2:9" ht="18" customHeight="1">
      <c r="B29" s="513" t="s">
        <v>236</v>
      </c>
      <c r="C29" s="252" t="s">
        <v>139</v>
      </c>
      <c r="D29" s="253">
        <v>3.8E-3</v>
      </c>
      <c r="E29" s="254" t="str">
        <f t="shared" si="1"/>
        <v>n/d</v>
      </c>
      <c r="F29" s="255"/>
      <c r="G29" s="243"/>
      <c r="H29" s="243"/>
      <c r="I29" s="243"/>
    </row>
    <row r="30" spans="2:9" ht="18" customHeight="1" thickBot="1">
      <c r="B30" s="513" t="s">
        <v>232</v>
      </c>
      <c r="C30" s="505" t="s">
        <v>139</v>
      </c>
      <c r="D30" s="506" t="s">
        <v>139</v>
      </c>
      <c r="E30" s="254" t="str">
        <f t="shared" si="1"/>
        <v>n/d</v>
      </c>
      <c r="F30" s="255"/>
      <c r="G30" s="243"/>
      <c r="H30" s="243"/>
      <c r="I30" s="243"/>
    </row>
    <row r="31" spans="2:9" ht="30" customHeight="1" thickBot="1">
      <c r="B31" s="256" t="s">
        <v>237</v>
      </c>
      <c r="C31" s="517">
        <v>0.25700000000000001</v>
      </c>
      <c r="D31" s="518">
        <v>0.253</v>
      </c>
      <c r="E31" s="519">
        <f>IFERROR((C31-D31)/D31,"n/d")</f>
        <v>1.581027667984191E-2</v>
      </c>
      <c r="F31" s="257"/>
      <c r="G31" s="243"/>
      <c r="H31" s="243"/>
      <c r="I31" s="243"/>
    </row>
    <row r="32" spans="2:9" s="16" customFormat="1" ht="10.5" customHeight="1">
      <c r="F32" s="243"/>
      <c r="G32" s="243"/>
      <c r="H32" s="243"/>
      <c r="I32" s="243"/>
    </row>
    <row r="33" spans="2:9" s="16" customFormat="1" ht="113.25" customHeight="1">
      <c r="B33" s="555" t="s">
        <v>243</v>
      </c>
      <c r="C33" s="555"/>
      <c r="D33" s="555"/>
      <c r="E33" s="555"/>
      <c r="F33" s="243"/>
      <c r="G33" s="243"/>
      <c r="H33" s="243"/>
      <c r="I33" s="243"/>
    </row>
    <row r="34" spans="2:9" s="16" customFormat="1" ht="14.25" customHeight="1">
      <c r="B34" s="258"/>
    </row>
    <row r="35" spans="2:9" s="16" customFormat="1" ht="15" thickBot="1"/>
    <row r="36" spans="2:9" ht="20.25" customHeight="1" thickBot="1">
      <c r="B36" s="556" t="s">
        <v>174</v>
      </c>
      <c r="C36" s="530" t="s">
        <v>228</v>
      </c>
      <c r="D36" s="531"/>
      <c r="E36" s="532"/>
    </row>
    <row r="37" spans="2:9" ht="20.25" customHeight="1" thickBot="1">
      <c r="B37" s="557"/>
      <c r="C37" s="273">
        <v>2017</v>
      </c>
      <c r="D37" s="274">
        <v>2016</v>
      </c>
      <c r="E37" s="275" t="s">
        <v>161</v>
      </c>
    </row>
    <row r="38" spans="2:9" ht="18" customHeight="1">
      <c r="B38" s="380" t="s">
        <v>175</v>
      </c>
      <c r="C38" s="382">
        <v>1</v>
      </c>
      <c r="D38" s="277">
        <v>0.998</v>
      </c>
      <c r="E38" s="432">
        <f>IFERROR((C38-D38)/D38,"n/d")</f>
        <v>2.0040080160320657E-3</v>
      </c>
    </row>
    <row r="39" spans="2:9" ht="18" customHeight="1">
      <c r="B39" s="381" t="s">
        <v>183</v>
      </c>
      <c r="C39" s="382">
        <v>0.999</v>
      </c>
      <c r="D39" s="277">
        <v>0.998</v>
      </c>
      <c r="E39" s="432">
        <f t="shared" ref="E39:E61" si="2">IFERROR((C39-D39)/D39,"n/d")</f>
        <v>1.0020040080160328E-3</v>
      </c>
    </row>
    <row r="40" spans="2:9" ht="18" customHeight="1">
      <c r="B40" s="515" t="s">
        <v>238</v>
      </c>
      <c r="C40" s="382">
        <v>0.95699999999999996</v>
      </c>
      <c r="D40" s="277" t="s">
        <v>139</v>
      </c>
      <c r="E40" s="432" t="str">
        <f t="shared" si="2"/>
        <v>n/d</v>
      </c>
    </row>
    <row r="41" spans="2:9" ht="18" customHeight="1">
      <c r="B41" s="381" t="s">
        <v>184</v>
      </c>
      <c r="C41" s="382">
        <v>0.95399999999999996</v>
      </c>
      <c r="D41" s="277">
        <v>0.93899999999999995</v>
      </c>
      <c r="E41" s="432">
        <f t="shared" si="2"/>
        <v>1.5974440894568707E-2</v>
      </c>
    </row>
    <row r="42" spans="2:9" ht="18" customHeight="1">
      <c r="B42" s="381" t="s">
        <v>185</v>
      </c>
      <c r="C42" s="382">
        <v>0.63</v>
      </c>
      <c r="D42" s="277">
        <v>0.627</v>
      </c>
      <c r="E42" s="432">
        <f t="shared" si="2"/>
        <v>4.7846889952153152E-3</v>
      </c>
    </row>
    <row r="43" spans="2:9" ht="18" customHeight="1">
      <c r="B43" s="381" t="s">
        <v>189</v>
      </c>
      <c r="C43" s="382">
        <v>0.57299999999999995</v>
      </c>
      <c r="D43" s="277">
        <v>0.55100000000000005</v>
      </c>
      <c r="E43" s="432">
        <f>IFERROR((C43-D43)/D43,"n/d")</f>
        <v>3.9927404718693119E-2</v>
      </c>
    </row>
    <row r="44" spans="2:9" ht="18" customHeight="1">
      <c r="B44" s="381" t="s">
        <v>164</v>
      </c>
      <c r="C44" s="382">
        <v>0.56000000000000005</v>
      </c>
      <c r="D44" s="277">
        <v>0.55800000000000005</v>
      </c>
      <c r="E44" s="432">
        <f t="shared" si="2"/>
        <v>3.5842293906810066E-3</v>
      </c>
    </row>
    <row r="45" spans="2:9" ht="18" customHeight="1">
      <c r="B45" s="381" t="s">
        <v>168</v>
      </c>
      <c r="C45" s="382">
        <v>0.55900000000000005</v>
      </c>
      <c r="D45" s="277">
        <v>0.54800000000000004</v>
      </c>
      <c r="E45" s="432">
        <f t="shared" si="2"/>
        <v>2.0072992700729944E-2</v>
      </c>
    </row>
    <row r="46" spans="2:9" ht="18" customHeight="1">
      <c r="B46" s="381" t="s">
        <v>167</v>
      </c>
      <c r="C46" s="382">
        <v>0.52500000000000002</v>
      </c>
      <c r="D46" s="277">
        <v>0.50800000000000001</v>
      </c>
      <c r="E46" s="432">
        <f t="shared" si="2"/>
        <v>3.3464566929133889E-2</v>
      </c>
    </row>
    <row r="47" spans="2:9" ht="18" customHeight="1">
      <c r="B47" s="381" t="s">
        <v>171</v>
      </c>
      <c r="C47" s="382">
        <v>0.50600000000000001</v>
      </c>
      <c r="D47" s="277">
        <v>0.38500000000000001</v>
      </c>
      <c r="E47" s="432">
        <f>IFERROR((C47-D47)/D47,"n/d")</f>
        <v>0.31428571428571428</v>
      </c>
    </row>
    <row r="48" spans="2:9" ht="18" customHeight="1">
      <c r="B48" s="381" t="s">
        <v>169</v>
      </c>
      <c r="C48" s="382">
        <v>0.503</v>
      </c>
      <c r="D48" s="277">
        <v>0.48299999999999998</v>
      </c>
      <c r="E48" s="432">
        <f>IFERROR((C48-D48)/D48,"n/d")</f>
        <v>4.1407867494824058E-2</v>
      </c>
    </row>
    <row r="49" spans="2:6" ht="18" customHeight="1">
      <c r="B49" s="381" t="s">
        <v>187</v>
      </c>
      <c r="C49" s="382">
        <v>0.47599999999999998</v>
      </c>
      <c r="D49" s="277">
        <v>0.45600000000000002</v>
      </c>
      <c r="E49" s="432">
        <f t="shared" si="2"/>
        <v>4.3859649122806932E-2</v>
      </c>
    </row>
    <row r="50" spans="2:6" ht="18" customHeight="1">
      <c r="B50" s="381" t="s">
        <v>165</v>
      </c>
      <c r="C50" s="382">
        <v>0.47399999999999998</v>
      </c>
      <c r="D50" s="277">
        <v>0.48599999999999999</v>
      </c>
      <c r="E50" s="432">
        <f>IFERROR((C50-D50)/D50,"n/d")</f>
        <v>-2.4691358024691381E-2</v>
      </c>
    </row>
    <row r="51" spans="2:6" ht="18" customHeight="1">
      <c r="B51" s="381" t="s">
        <v>173</v>
      </c>
      <c r="C51" s="382">
        <v>0.46200000000000002</v>
      </c>
      <c r="D51" s="277">
        <v>0.45800000000000002</v>
      </c>
      <c r="E51" s="432">
        <f t="shared" si="2"/>
        <v>8.7336244541484798E-3</v>
      </c>
    </row>
    <row r="52" spans="2:6" ht="18" customHeight="1">
      <c r="B52" s="381" t="s">
        <v>186</v>
      </c>
      <c r="C52" s="382">
        <v>0.45600000000000002</v>
      </c>
      <c r="D52" s="277">
        <v>0.438</v>
      </c>
      <c r="E52" s="432">
        <f t="shared" si="2"/>
        <v>4.1095890410958943E-2</v>
      </c>
    </row>
    <row r="53" spans="2:6" ht="18" customHeight="1">
      <c r="B53" s="381" t="s">
        <v>188</v>
      </c>
      <c r="C53" s="382">
        <v>0.44400000000000001</v>
      </c>
      <c r="D53" s="277">
        <v>0.34300000000000003</v>
      </c>
      <c r="E53" s="432">
        <f t="shared" si="2"/>
        <v>0.2944606413994168</v>
      </c>
    </row>
    <row r="54" spans="2:6" ht="18" customHeight="1">
      <c r="B54" s="381" t="s">
        <v>172</v>
      </c>
      <c r="C54" s="382">
        <v>0.439</v>
      </c>
      <c r="D54" s="277">
        <v>0.29699999999999999</v>
      </c>
      <c r="E54" s="432">
        <f t="shared" si="2"/>
        <v>0.47811447811447821</v>
      </c>
    </row>
    <row r="55" spans="2:6" ht="18" customHeight="1">
      <c r="B55" s="381" t="s">
        <v>190</v>
      </c>
      <c r="C55" s="382">
        <v>0.42499999999999999</v>
      </c>
      <c r="D55" s="277">
        <v>0.39500000000000002</v>
      </c>
      <c r="E55" s="432">
        <f t="shared" si="2"/>
        <v>7.5949367088607514E-2</v>
      </c>
    </row>
    <row r="56" spans="2:6" ht="18" customHeight="1">
      <c r="B56" s="381" t="s">
        <v>170</v>
      </c>
      <c r="C56" s="382">
        <v>0.40500000000000003</v>
      </c>
      <c r="D56" s="277">
        <v>0.38500000000000001</v>
      </c>
      <c r="E56" s="432">
        <f t="shared" si="2"/>
        <v>5.1948051948051993E-2</v>
      </c>
    </row>
    <row r="57" spans="2:6" ht="18" customHeight="1">
      <c r="B57" s="381" t="s">
        <v>166</v>
      </c>
      <c r="C57" s="382">
        <v>0.36</v>
      </c>
      <c r="D57" s="277">
        <v>0.35899999999999999</v>
      </c>
      <c r="E57" s="432">
        <f t="shared" si="2"/>
        <v>2.7855153203342644E-3</v>
      </c>
    </row>
    <row r="58" spans="2:6" ht="18" customHeight="1">
      <c r="B58" s="515" t="s">
        <v>239</v>
      </c>
      <c r="C58" s="382">
        <v>0.25900000000000001</v>
      </c>
      <c r="D58" s="277" t="s">
        <v>139</v>
      </c>
      <c r="E58" s="432" t="str">
        <f t="shared" si="2"/>
        <v>n/d</v>
      </c>
    </row>
    <row r="59" spans="2:6" ht="18" customHeight="1">
      <c r="B59" s="515" t="s">
        <v>240</v>
      </c>
      <c r="C59" s="382">
        <v>0.216</v>
      </c>
      <c r="D59" s="277" t="s">
        <v>139</v>
      </c>
      <c r="E59" s="432" t="str">
        <f t="shared" si="2"/>
        <v>n/d</v>
      </c>
    </row>
    <row r="60" spans="2:6" ht="18" customHeight="1">
      <c r="B60" s="515" t="s">
        <v>241</v>
      </c>
      <c r="C60" s="382">
        <v>0.111</v>
      </c>
      <c r="D60" s="277" t="s">
        <v>139</v>
      </c>
      <c r="E60" s="432" t="str">
        <f t="shared" si="2"/>
        <v>n/d</v>
      </c>
    </row>
    <row r="61" spans="2:6" ht="18" customHeight="1">
      <c r="B61" s="515" t="s">
        <v>219</v>
      </c>
      <c r="C61" s="428" t="s">
        <v>139</v>
      </c>
      <c r="D61" s="430">
        <v>0.94199999999999995</v>
      </c>
      <c r="E61" s="432" t="str">
        <f t="shared" si="2"/>
        <v>n/d</v>
      </c>
    </row>
    <row r="62" spans="2:6" ht="18" customHeight="1" thickBot="1">
      <c r="B62" s="516" t="s">
        <v>242</v>
      </c>
      <c r="C62" s="429" t="s">
        <v>139</v>
      </c>
      <c r="D62" s="431" t="s">
        <v>139</v>
      </c>
      <c r="E62" s="433" t="str">
        <f t="shared" ref="E62" si="3">IFERROR((C62-D62)/D62,"n/d")</f>
        <v>n/d</v>
      </c>
    </row>
    <row r="63" spans="2:6" s="16" customFormat="1" ht="10.5" customHeight="1"/>
    <row r="64" spans="2:6" s="16" customFormat="1" ht="96.75" customHeight="1">
      <c r="B64" s="555" t="s">
        <v>244</v>
      </c>
      <c r="C64" s="555"/>
      <c r="D64" s="555"/>
      <c r="E64" s="555"/>
      <c r="F64" s="555"/>
    </row>
    <row r="65" spans="2:5" s="16" customFormat="1">
      <c r="B65" s="559"/>
      <c r="C65" s="559"/>
      <c r="D65" s="559"/>
      <c r="E65" s="559"/>
    </row>
    <row r="66" spans="2:5" s="259" customFormat="1" ht="27.75" customHeight="1">
      <c r="B66" s="555"/>
      <c r="C66" s="555"/>
      <c r="D66" s="555"/>
      <c r="E66" s="555"/>
    </row>
    <row r="67" spans="2:5" s="16" customFormat="1">
      <c r="B67" s="559"/>
      <c r="C67" s="559"/>
      <c r="D67" s="559"/>
      <c r="E67" s="559"/>
    </row>
    <row r="68" spans="2:5" s="16" customFormat="1" ht="14.25" customHeight="1">
      <c r="B68" s="555"/>
      <c r="C68" s="555"/>
      <c r="D68" s="555"/>
      <c r="E68" s="555"/>
    </row>
    <row r="69" spans="2:5" s="16" customFormat="1" ht="14.25" customHeight="1">
      <c r="B69" s="555"/>
      <c r="C69" s="555"/>
      <c r="D69" s="555"/>
      <c r="E69" s="555"/>
    </row>
    <row r="70" spans="2:5" s="16" customFormat="1">
      <c r="B70" s="260"/>
      <c r="C70" s="260"/>
      <c r="D70" s="260"/>
      <c r="E70" s="260"/>
    </row>
    <row r="71" spans="2:5" s="16" customFormat="1">
      <c r="B71" s="260"/>
      <c r="C71" s="261"/>
      <c r="D71" s="261"/>
      <c r="E71" s="261"/>
    </row>
    <row r="72" spans="2:5" s="16" customFormat="1">
      <c r="B72" s="558"/>
      <c r="C72" s="558"/>
      <c r="D72" s="558"/>
    </row>
    <row r="73" spans="2:5" s="16" customFormat="1" ht="18" customHeight="1">
      <c r="B73" s="558"/>
      <c r="C73" s="558"/>
      <c r="D73" s="558"/>
    </row>
    <row r="74" spans="2:5" s="16" customFormat="1"/>
    <row r="75" spans="2:5" s="16" customFormat="1"/>
    <row r="76" spans="2:5" s="16" customFormat="1"/>
    <row r="77" spans="2:5" s="16" customFormat="1"/>
    <row r="78" spans="2:5" s="16" customFormat="1"/>
    <row r="79" spans="2:5" s="16" customFormat="1"/>
    <row r="80" spans="2:5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</sheetData>
  <mergeCells count="13">
    <mergeCell ref="B72:D72"/>
    <mergeCell ref="B73:D73"/>
    <mergeCell ref="B64:F64"/>
    <mergeCell ref="B65:E65"/>
    <mergeCell ref="B66:E66"/>
    <mergeCell ref="B67:E67"/>
    <mergeCell ref="B68:E68"/>
    <mergeCell ref="B69:E69"/>
    <mergeCell ref="B2:B3"/>
    <mergeCell ref="C2:E2"/>
    <mergeCell ref="B33:E33"/>
    <mergeCell ref="B36:B37"/>
    <mergeCell ref="C36:E36"/>
  </mergeCells>
  <pageMargins left="0.7" right="0.7" top="0.75" bottom="0.75" header="0.3" footer="0.3"/>
  <pageSetup paperSize="9" scale="56" orientation="portrait" horizontalDpi="4294967294" r:id="rId1"/>
  <ignoredErrors>
    <ignoredError sqref="E4 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P&amp;L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P&amp;L'!Obszar_wydruku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2017-05-10T09:49:11Z</dcterms:modified>
</cp:coreProperties>
</file>